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ОКС\!Спецнадбавка\2025\Корректировка апрель\МАЙ\"/>
    </mc:Choice>
  </mc:AlternateContent>
  <bookViews>
    <workbookView xWindow="0" yWindow="0" windowWidth="28800" windowHeight="12435"/>
  </bookViews>
  <sheets>
    <sheet name="План мероприятий" sheetId="1" r:id="rId1"/>
  </sheets>
  <definedNames>
    <definedName name="_xlnm._FilterDatabase" localSheetId="0" hidden="1">'План мероприятий'!$A$25:$AD$393</definedName>
    <definedName name="Z_9ABF3B17_E84B_4363_A5B9_6849F2D498BD_.wvu.FilterData" localSheetId="0" hidden="1">'План мероприятий'!$A$25:$AD$393</definedName>
    <definedName name="Z_C5E84CBD_13D1_4E8C_8B2D_5DBC42061D72_.wvu.FilterData" localSheetId="0" hidden="1">'План мероприятий'!$A$25:$AD$393</definedName>
    <definedName name="Z_C5E84CBD_13D1_4E8C_8B2D_5DBC42061D72_.wvu.PrintTitles" localSheetId="0" hidden="1">'План мероприятий'!$3:$5</definedName>
    <definedName name="Z_D5F0C624_FA70_4EA2_98A9_85B7CEDAC8EA_.wvu.FilterData" localSheetId="0" hidden="1">'План мероприятий'!$A$5:$AD$391</definedName>
    <definedName name="Z_D5F0C624_FA70_4EA2_98A9_85B7CEDAC8EA_.wvu.PrintTitles" localSheetId="0" hidden="1">'План мероприятий'!$3:$5</definedName>
    <definedName name="Z_E85BF117_0083_467C_8C72_37B7C5E28411_.wvu.FilterData" localSheetId="0" hidden="1">'План мероприятий'!$A$5:$AD$393</definedName>
    <definedName name="_xlnm.Print_Titles" localSheetId="0">'План мероприятий'!$3:$5</definedName>
  </definedNames>
  <calcPr calcId="152511"/>
  <customWorkbookViews>
    <customWorkbookView name="Жирохова Наталья Николаевна - Личное представление" guid="{C5E84CBD-13D1-4E8C-8B2D-5DBC42061D72}" mergeInterval="0" personalView="1" maximized="1" xWindow="-8" yWindow="-8" windowWidth="1936" windowHeight="1056" activeSheetId="1"/>
    <customWorkbookView name="Пользователь Windows - Личное представление" guid="{D5F0C624-FA70-4EA2-98A9-85B7CEDAC8EA}" mergeInterval="0" personalView="1" maximized="1" xWindow="-8" yWindow="-8" windowWidth="1936" windowHeight="1056" activeSheetId="1"/>
    <customWorkbookView name="Бузмакова Наталья Аркадьевна - Личное представление" guid="{B2960CAA-ED74-4DFE-BAE4-677F28CC36B0}" mergeInterval="0" personalView="1" maximized="1" xWindow="-8" yWindow="-8" windowWidth="1936" windowHeight="1056" activeSheetId="1"/>
    <customWorkbookView name="Рязанова Елена Валерьевна - Личное представление" guid="{03883782-FC51-43D6-A88E-66ADD20FA603}" mergeInterval="0" personalView="1" maximized="1" xWindow="-8" yWindow="-8" windowWidth="1936" windowHeight="1056" activeSheetId="2"/>
    <customWorkbookView name="Горохова Ксения Сергеевна - Личное представление" guid="{04545752-772B-4FCD-9F9A-20C84F538B99}" mergeInterval="0" personalView="1" xWindow="960" windowWidth="960" windowHeight="1040" activeSheetId="2"/>
    <customWorkbookView name="Касаткина Светлана Андреевна - Личное представление" guid="{E85BF117-0083-467C-8C72-37B7C5E2841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1" l="1"/>
  <c r="O323" i="1"/>
  <c r="AB323" i="1" s="1"/>
  <c r="P386" i="1" l="1"/>
  <c r="P363" i="1"/>
  <c r="Q246" i="1"/>
  <c r="R246" i="1"/>
  <c r="S246" i="1"/>
  <c r="T246" i="1"/>
  <c r="U246" i="1"/>
  <c r="O386" i="1"/>
  <c r="N386" i="1"/>
  <c r="M386" i="1"/>
  <c r="L386" i="1"/>
  <c r="K364" i="1"/>
  <c r="K386" i="1" l="1"/>
  <c r="K392" i="1" l="1"/>
  <c r="K391" i="1"/>
  <c r="K390" i="1"/>
  <c r="K389" i="1"/>
  <c r="K388" i="1"/>
  <c r="J183" i="1" l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118" i="1"/>
  <c r="O185" i="1"/>
  <c r="K185" i="1" s="1"/>
  <c r="O184" i="1"/>
  <c r="K184" i="1" s="1"/>
  <c r="J184" i="1" l="1"/>
  <c r="J185" i="1"/>
  <c r="J186" i="1"/>
  <c r="M206" i="1" l="1"/>
  <c r="L206" i="1"/>
  <c r="K206" i="1" s="1"/>
  <c r="P343" i="1" l="1"/>
  <c r="P355" i="1" l="1"/>
  <c r="P360" i="1"/>
  <c r="P359" i="1"/>
  <c r="O387" i="1" l="1"/>
  <c r="K387" i="1" l="1"/>
  <c r="N341" i="1"/>
  <c r="Y313" i="1"/>
  <c r="Y306" i="1"/>
  <c r="AB306" i="1" s="1"/>
  <c r="P362" i="1"/>
  <c r="K362" i="1" s="1"/>
  <c r="P361" i="1"/>
  <c r="K361" i="1" s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9" i="1"/>
  <c r="K360" i="1"/>
  <c r="K343" i="1"/>
  <c r="N334" i="1"/>
  <c r="N297" i="1" l="1"/>
  <c r="N342" i="1"/>
  <c r="N306" i="1"/>
  <c r="K306" i="1" s="1"/>
  <c r="N283" i="1"/>
  <c r="K283" i="1" s="1"/>
  <c r="N308" i="1"/>
  <c r="K308" i="1" s="1"/>
  <c r="N304" i="1"/>
  <c r="N302" i="1"/>
  <c r="K302" i="1" s="1"/>
  <c r="N339" i="1"/>
  <c r="K339" i="1" s="1"/>
  <c r="N310" i="1"/>
  <c r="N305" i="1"/>
  <c r="N303" i="1"/>
  <c r="N300" i="1"/>
  <c r="N299" i="1"/>
  <c r="K299" i="1" s="1"/>
  <c r="N298" i="1"/>
  <c r="K297" i="1" s="1"/>
  <c r="N296" i="1"/>
  <c r="K296" i="1" s="1"/>
  <c r="N295" i="1"/>
  <c r="K295" i="1" s="1"/>
  <c r="N294" i="1"/>
  <c r="N293" i="1"/>
  <c r="K293" i="1" s="1"/>
  <c r="K335" i="1"/>
  <c r="K310" i="1"/>
  <c r="K305" i="1"/>
  <c r="K303" i="1"/>
  <c r="K300" i="1"/>
  <c r="K294" i="1"/>
  <c r="N291" i="1"/>
  <c r="K291" i="1" s="1"/>
  <c r="N289" i="1"/>
  <c r="K289" i="1" s="1"/>
  <c r="N288" i="1"/>
  <c r="K288" i="1" s="1"/>
  <c r="N287" i="1"/>
  <c r="K287" i="1" s="1"/>
  <c r="N286" i="1"/>
  <c r="K286" i="1" s="1"/>
  <c r="N285" i="1"/>
  <c r="K285" i="1" s="1"/>
  <c r="N284" i="1"/>
  <c r="K284" i="1" s="1"/>
  <c r="N282" i="1"/>
  <c r="K282" i="1" s="1"/>
  <c r="N273" i="1"/>
  <c r="K273" i="1" s="1"/>
  <c r="N281" i="1"/>
  <c r="K281" i="1" s="1"/>
  <c r="Y335" i="1"/>
  <c r="K298" i="1" l="1"/>
  <c r="O365" i="1"/>
  <c r="N324" i="1"/>
  <c r="Y341" i="1"/>
  <c r="J341" i="1"/>
  <c r="AB358" i="1"/>
  <c r="Y342" i="1"/>
  <c r="AB342" i="1" s="1"/>
  <c r="K342" i="1"/>
  <c r="N338" i="1"/>
  <c r="N337" i="1"/>
  <c r="N336" i="1"/>
  <c r="Y336" i="1" s="1"/>
  <c r="N327" i="1"/>
  <c r="O327" i="1" s="1"/>
  <c r="Y308" i="1"/>
  <c r="Y334" i="1"/>
  <c r="N333" i="1"/>
  <c r="Y333" i="1" s="1"/>
  <c r="N332" i="1"/>
  <c r="Y332" i="1" s="1"/>
  <c r="AB332" i="1" s="1"/>
  <c r="N331" i="1"/>
  <c r="Y331" i="1" s="1"/>
  <c r="N330" i="1"/>
  <c r="Y330" i="1" s="1"/>
  <c r="J330" i="1"/>
  <c r="N329" i="1"/>
  <c r="Y329" i="1" s="1"/>
  <c r="J329" i="1"/>
  <c r="N328" i="1"/>
  <c r="Y328" i="1" s="1"/>
  <c r="J328" i="1"/>
  <c r="Y326" i="1"/>
  <c r="N326" i="1"/>
  <c r="J326" i="1"/>
  <c r="N325" i="1"/>
  <c r="Y325" i="1" s="1"/>
  <c r="Y324" i="1"/>
  <c r="N323" i="1"/>
  <c r="N322" i="1"/>
  <c r="Y322" i="1" s="1"/>
  <c r="J322" i="1"/>
  <c r="N321" i="1"/>
  <c r="Y321" i="1" s="1"/>
  <c r="J321" i="1"/>
  <c r="N320" i="1"/>
  <c r="J320" i="1"/>
  <c r="N319" i="1"/>
  <c r="Y319" i="1" s="1"/>
  <c r="N318" i="1"/>
  <c r="N317" i="1"/>
  <c r="Y317" i="1" s="1"/>
  <c r="N316" i="1"/>
  <c r="J316" i="1"/>
  <c r="J315" i="1"/>
  <c r="N315" i="1"/>
  <c r="Y315" i="1" s="1"/>
  <c r="N314" i="1"/>
  <c r="J314" i="1"/>
  <c r="N312" i="1"/>
  <c r="Y312" i="1" s="1"/>
  <c r="N313" i="1"/>
  <c r="N311" i="1"/>
  <c r="O363" i="1" l="1"/>
  <c r="K365" i="1"/>
  <c r="K363" i="1" s="1"/>
  <c r="O318" i="1"/>
  <c r="Y323" i="1"/>
  <c r="K323" i="1"/>
  <c r="K313" i="1"/>
  <c r="AB313" i="1" s="1"/>
  <c r="Y337" i="1"/>
  <c r="AB337" i="1" s="1"/>
  <c r="P337" i="1"/>
  <c r="Y338" i="1"/>
  <c r="AB338" i="1" s="1"/>
  <c r="P338" i="1"/>
  <c r="K338" i="1" s="1"/>
  <c r="AB322" i="1"/>
  <c r="P358" i="1"/>
  <c r="K358" i="1" s="1"/>
  <c r="AB330" i="1"/>
  <c r="Y327" i="1"/>
  <c r="AB328" i="1"/>
  <c r="Y318" i="1"/>
  <c r="AB315" i="1"/>
  <c r="Y311" i="1"/>
  <c r="K311" i="1"/>
  <c r="AB327" i="1"/>
  <c r="K327" i="1"/>
  <c r="K316" i="1"/>
  <c r="AB326" i="1"/>
  <c r="K326" i="1"/>
  <c r="K330" i="1"/>
  <c r="K322" i="1"/>
  <c r="K320" i="1"/>
  <c r="K334" i="1"/>
  <c r="K315" i="1"/>
  <c r="AB324" i="1"/>
  <c r="K324" i="1"/>
  <c r="K328" i="1"/>
  <c r="K332" i="1"/>
  <c r="K304" i="1"/>
  <c r="AB304" i="1" s="1"/>
  <c r="K340" i="1"/>
  <c r="AB333" i="1"/>
  <c r="K333" i="1"/>
  <c r="AB314" i="1"/>
  <c r="K314" i="1"/>
  <c r="AB325" i="1"/>
  <c r="K325" i="1"/>
  <c r="AB329" i="1"/>
  <c r="K329" i="1"/>
  <c r="K341" i="1"/>
  <c r="AB341" i="1" s="1"/>
  <c r="Y314" i="1"/>
  <c r="Y320" i="1"/>
  <c r="AB320" i="1" s="1"/>
  <c r="AB340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3" i="1"/>
  <c r="K337" i="1" l="1"/>
  <c r="P246" i="1"/>
  <c r="P239" i="1" s="1"/>
  <c r="AB318" i="1"/>
  <c r="O246" i="1"/>
  <c r="K318" i="1"/>
  <c r="AB334" i="1"/>
  <c r="AB319" i="1"/>
  <c r="K319" i="1"/>
  <c r="AB312" i="1"/>
  <c r="K312" i="1"/>
  <c r="AB331" i="1"/>
  <c r="K331" i="1"/>
  <c r="AB321" i="1"/>
  <c r="K321" i="1"/>
  <c r="AB336" i="1"/>
  <c r="K336" i="1"/>
  <c r="AB308" i="1"/>
  <c r="AB311" i="1"/>
  <c r="K16" i="1"/>
  <c r="K7" i="1" s="1"/>
  <c r="L16" i="1"/>
  <c r="L7" i="1" s="1"/>
  <c r="M16" i="1"/>
  <c r="M7" i="1" s="1"/>
  <c r="N16" i="1"/>
  <c r="N7" i="1" s="1"/>
  <c r="O16" i="1"/>
  <c r="O7" i="1" s="1"/>
  <c r="P16" i="1"/>
  <c r="P7" i="1" s="1"/>
  <c r="Q16" i="1"/>
  <c r="Q7" i="1" s="1"/>
  <c r="R16" i="1"/>
  <c r="R7" i="1" s="1"/>
  <c r="S16" i="1"/>
  <c r="S7" i="1" s="1"/>
  <c r="T16" i="1"/>
  <c r="T7" i="1" s="1"/>
  <c r="U16" i="1"/>
  <c r="U7" i="1" s="1"/>
  <c r="K17" i="1"/>
  <c r="K8" i="1" s="1"/>
  <c r="L17" i="1"/>
  <c r="L8" i="1" s="1"/>
  <c r="M17" i="1"/>
  <c r="M8" i="1" s="1"/>
  <c r="N17" i="1"/>
  <c r="N8" i="1" s="1"/>
  <c r="O17" i="1"/>
  <c r="O8" i="1" s="1"/>
  <c r="P17" i="1"/>
  <c r="P8" i="1" s="1"/>
  <c r="Q17" i="1"/>
  <c r="Q8" i="1" s="1"/>
  <c r="R17" i="1"/>
  <c r="R8" i="1" s="1"/>
  <c r="S17" i="1"/>
  <c r="S8" i="1" s="1"/>
  <c r="T17" i="1"/>
  <c r="T8" i="1" s="1"/>
  <c r="U17" i="1"/>
  <c r="U8" i="1" s="1"/>
  <c r="K18" i="1"/>
  <c r="K9" i="1" s="1"/>
  <c r="L18" i="1"/>
  <c r="L9" i="1" s="1"/>
  <c r="M18" i="1"/>
  <c r="M9" i="1" s="1"/>
  <c r="N18" i="1"/>
  <c r="N9" i="1" s="1"/>
  <c r="O18" i="1"/>
  <c r="O9" i="1" s="1"/>
  <c r="P18" i="1"/>
  <c r="P9" i="1" s="1"/>
  <c r="Q18" i="1"/>
  <c r="Q9" i="1" s="1"/>
  <c r="R18" i="1"/>
  <c r="R9" i="1" s="1"/>
  <c r="S18" i="1"/>
  <c r="S9" i="1" s="1"/>
  <c r="T18" i="1"/>
  <c r="T9" i="1" s="1"/>
  <c r="U18" i="1"/>
  <c r="U9" i="1" s="1"/>
  <c r="K19" i="1"/>
  <c r="K10" i="1" s="1"/>
  <c r="L19" i="1"/>
  <c r="L10" i="1" s="1"/>
  <c r="M19" i="1"/>
  <c r="M10" i="1" s="1"/>
  <c r="N19" i="1"/>
  <c r="N10" i="1" s="1"/>
  <c r="O19" i="1"/>
  <c r="O10" i="1" s="1"/>
  <c r="P19" i="1"/>
  <c r="P10" i="1" s="1"/>
  <c r="Q19" i="1"/>
  <c r="Q10" i="1" s="1"/>
  <c r="R19" i="1"/>
  <c r="R10" i="1" s="1"/>
  <c r="S19" i="1"/>
  <c r="S10" i="1" s="1"/>
  <c r="T19" i="1"/>
  <c r="T10" i="1" s="1"/>
  <c r="U19" i="1"/>
  <c r="U10" i="1" s="1"/>
  <c r="L20" i="1"/>
  <c r="L11" i="1" s="1"/>
  <c r="M20" i="1"/>
  <c r="M11" i="1" s="1"/>
  <c r="N20" i="1"/>
  <c r="N11" i="1" s="1"/>
  <c r="S20" i="1"/>
  <c r="S11" i="1" s="1"/>
  <c r="T20" i="1"/>
  <c r="T11" i="1" s="1"/>
  <c r="U20" i="1"/>
  <c r="U11" i="1" s="1"/>
  <c r="K21" i="1"/>
  <c r="K12" i="1" s="1"/>
  <c r="L21" i="1"/>
  <c r="L12" i="1" s="1"/>
  <c r="M21" i="1"/>
  <c r="M12" i="1" s="1"/>
  <c r="N21" i="1"/>
  <c r="N12" i="1" s="1"/>
  <c r="O21" i="1"/>
  <c r="O12" i="1" s="1"/>
  <c r="P21" i="1"/>
  <c r="P12" i="1" s="1"/>
  <c r="Q21" i="1"/>
  <c r="Q12" i="1" s="1"/>
  <c r="R21" i="1"/>
  <c r="S21" i="1"/>
  <c r="S12" i="1" s="1"/>
  <c r="T21" i="1"/>
  <c r="T12" i="1" s="1"/>
  <c r="U21" i="1"/>
  <c r="U12" i="1" s="1"/>
  <c r="K22" i="1"/>
  <c r="L22" i="1"/>
  <c r="M22" i="1"/>
  <c r="N22" i="1"/>
  <c r="O22" i="1"/>
  <c r="P22" i="1"/>
  <c r="Q22" i="1"/>
  <c r="R22" i="1"/>
  <c r="S22" i="1"/>
  <c r="T22" i="1"/>
  <c r="U22" i="1"/>
  <c r="K23" i="1"/>
  <c r="L23" i="1"/>
  <c r="M23" i="1"/>
  <c r="N23" i="1"/>
  <c r="O23" i="1"/>
  <c r="P23" i="1"/>
  <c r="Q23" i="1"/>
  <c r="R23" i="1"/>
  <c r="S23" i="1"/>
  <c r="T23" i="1"/>
  <c r="U23" i="1"/>
  <c r="L246" i="1"/>
  <c r="L239" i="1" s="1"/>
  <c r="M246" i="1"/>
  <c r="M239" i="1" s="1"/>
  <c r="N246" i="1"/>
  <c r="N239" i="1" s="1"/>
  <c r="Q239" i="1"/>
  <c r="R239" i="1"/>
  <c r="S239" i="1"/>
  <c r="U239" i="1"/>
  <c r="L363" i="1"/>
  <c r="M363" i="1"/>
  <c r="N363" i="1"/>
  <c r="Q363" i="1"/>
  <c r="R363" i="1"/>
  <c r="S363" i="1"/>
  <c r="T363" i="1"/>
  <c r="U363" i="1"/>
  <c r="K374" i="1"/>
  <c r="K366" i="1" s="1"/>
  <c r="L374" i="1"/>
  <c r="M374" i="1"/>
  <c r="M366" i="1" s="1"/>
  <c r="N374" i="1"/>
  <c r="N366" i="1" s="1"/>
  <c r="O374" i="1"/>
  <c r="O366" i="1" s="1"/>
  <c r="P374" i="1"/>
  <c r="P366" i="1" s="1"/>
  <c r="Q374" i="1"/>
  <c r="Q366" i="1" s="1"/>
  <c r="R374" i="1"/>
  <c r="R366" i="1" s="1"/>
  <c r="S374" i="1"/>
  <c r="S366" i="1" s="1"/>
  <c r="T374" i="1"/>
  <c r="T366" i="1" s="1"/>
  <c r="U374" i="1"/>
  <c r="U366" i="1" s="1"/>
  <c r="M15" i="1" l="1"/>
  <c r="R13" i="1"/>
  <c r="R14" i="1"/>
  <c r="L13" i="1"/>
  <c r="U14" i="1"/>
  <c r="S13" i="1"/>
  <c r="T13" i="1"/>
  <c r="S14" i="1"/>
  <c r="N14" i="1"/>
  <c r="L14" i="1"/>
  <c r="U13" i="1"/>
  <c r="M13" i="1"/>
  <c r="Q14" i="1"/>
  <c r="K14" i="1"/>
  <c r="T14" i="1"/>
  <c r="L366" i="1"/>
  <c r="S15" i="1"/>
  <c r="M14" i="1"/>
  <c r="P13" i="1"/>
  <c r="Q13" i="1"/>
  <c r="P14" i="1"/>
  <c r="N13" i="1"/>
  <c r="R12" i="1"/>
  <c r="N15" i="1"/>
  <c r="O14" i="1"/>
  <c r="T239" i="1"/>
  <c r="T15" i="1"/>
  <c r="L15" i="1"/>
  <c r="U15" i="1"/>
  <c r="N6" i="1" l="1"/>
  <c r="S6" i="1"/>
  <c r="M6" i="1"/>
  <c r="U6" i="1"/>
  <c r="T6" i="1"/>
  <c r="L6" i="1"/>
  <c r="AB317" i="1" l="1"/>
  <c r="K317" i="1"/>
  <c r="O239" i="1" l="1"/>
  <c r="O13" i="1"/>
  <c r="K246" i="1"/>
  <c r="K13" i="1" s="1"/>
  <c r="K239" i="1" l="1"/>
  <c r="P20" i="1" l="1"/>
  <c r="R20" i="1"/>
  <c r="R11" i="1" l="1"/>
  <c r="R6" i="1" s="1"/>
  <c r="R15" i="1"/>
  <c r="P11" i="1"/>
  <c r="P6" i="1" s="1"/>
  <c r="P15" i="1"/>
  <c r="Q20" i="1" l="1"/>
  <c r="Q11" i="1" l="1"/>
  <c r="Q6" i="1" s="1"/>
  <c r="Q15" i="1"/>
  <c r="K20" i="1" l="1"/>
  <c r="O20" i="1"/>
  <c r="O11" i="1" l="1"/>
  <c r="O6" i="1" s="1"/>
  <c r="O15" i="1"/>
  <c r="K11" i="1"/>
  <c r="K6" i="1" s="1"/>
  <c r="K15" i="1"/>
</calcChain>
</file>

<file path=xl/comments1.xml><?xml version="1.0" encoding="utf-8"?>
<comments xmlns="http://schemas.openxmlformats.org/spreadsheetml/2006/main">
  <authors>
    <author>Жирохова Наталья Николаевна</author>
  </authors>
  <commentList>
    <comment ref="Y313" authorId="0" guid="{E90324D7-AC11-42BD-ADA9-DB64591C947C}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ПИР 2025- 8,288
 т.р.
</t>
        </r>
      </text>
    </comment>
  </commentList>
</comments>
</file>

<file path=xl/sharedStrings.xml><?xml version="1.0" encoding="utf-8"?>
<sst xmlns="http://schemas.openxmlformats.org/spreadsheetml/2006/main" count="4729" uniqueCount="615">
  <si>
    <t>Подраздел</t>
  </si>
  <si>
    <t>Наименование объекта -
источника газоснабжения</t>
  </si>
  <si>
    <t>Характеристика объекта</t>
  </si>
  <si>
    <t>Финансирование</t>
  </si>
  <si>
    <t>куб. м
в час
(тонн
в час)</t>
  </si>
  <si>
    <t>тыс.
куб. м
в год
(тонн
в год)</t>
  </si>
  <si>
    <t>куб. м</t>
  </si>
  <si>
    <t>Проектные
и изыскательские работы</t>
  </si>
  <si>
    <t>производитель-
ность
(потребление),
проектное
значение</t>
  </si>
  <si>
    <t>Строительно-монтажные работы</t>
  </si>
  <si>
    <t>объем хранения (транспор-тировоч-ных емкостей)</t>
  </si>
  <si>
    <t>Газоснабжение природным газом</t>
  </si>
  <si>
    <t>x</t>
  </si>
  <si>
    <t>1.1.1.1</t>
  </si>
  <si>
    <t>1.1.1.1.1</t>
  </si>
  <si>
    <t>1.1.1.1.1.1</t>
  </si>
  <si>
    <t>2.1</t>
  </si>
  <si>
    <t>Газоснабжение компримированным природным газом</t>
  </si>
  <si>
    <t>3.1</t>
  </si>
  <si>
    <t>Всего за период 2022 - 2031 годов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</si>
  <si>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</si>
  <si>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</si>
  <si>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</si>
  <si>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</si>
  <si>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</si>
  <si>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</si>
  <si>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</si>
  <si>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</si>
  <si>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</si>
  <si>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</si>
  <si>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млн. рублей</t>
  </si>
  <si>
    <t>х</t>
  </si>
  <si>
    <t>Реконструкция газопровода по комбинату древесных плит г. Киров (КГ074556)</t>
  </si>
  <si>
    <t>Газоснабжение ул.Тельмана, Западная, пер. Тельмана, Западный Нововятского района г. Кирова</t>
  </si>
  <si>
    <t>Газоснабжение жилых домов в д. Сиухино Ленинского района г. Кирова</t>
  </si>
  <si>
    <t>Реконструкция подземного газопровода среднего давления, подоходы к ГРП-16, ул. Большева, 17, г. Киров (КГ076635)</t>
  </si>
  <si>
    <t>Реконструкция подземного газопровода высокого давления подходы от ГРП-60 по ул. Сормовской в г. Кирове (КГ076640)</t>
  </si>
  <si>
    <t>Реконструкция подземного газопровода низкого давления выходы от ГРП-60 по ул. Сормовской в г. Кирове (КГ076641)</t>
  </si>
  <si>
    <t>Реконструкция подземного газопровода среднего давления от ул. Пугачева по ул. Некрасова к ГРП-2, г. Киров (КГ01276в)</t>
  </si>
  <si>
    <t>Реконструкция подземного газопровода высокого давления по ул. Производственная от ГРП-2 до р. Люльченко, г. Киров (КГ076604)</t>
  </si>
  <si>
    <t>Реконструкция газопровода высокого давления от ул. Сормовская по ул. Луганская, Полевая к заводу ОЦМ (КГ074703)</t>
  </si>
  <si>
    <t>Газопровод среднего давления ОПХ "Пригородное" д.Шутовщина Кирово-Чепецкого района (КГ006409)</t>
  </si>
  <si>
    <t>Реконструкция газопровода высокого и низкого давления для перевода на природный газ ж.д. по ул.Кирпичная 7-21а г. Киров (КГ078494) (замена ШРП №22)</t>
  </si>
  <si>
    <t>Реконструкция газопровода по ул. Московская, 118/1 (КГ078160) (замена ШРП-34)</t>
  </si>
  <si>
    <t>Реконструкция ГРП-38 Хлыновская 20, г. Киров (КГ006556)</t>
  </si>
  <si>
    <t>Реконтструкция газопровода к жилым домам по ул.Дзержинского, Чехова, Береговая г. Вятские Поляны (ВП3534) (Замена ШРП-17)</t>
  </si>
  <si>
    <t>Реконструкция газопровода высокого давления от места врезки до УГРШ в д. Новая Тушка Малмыжский район (ВП3654) (Замена ШРП-73)</t>
  </si>
  <si>
    <t>Реконструкция газопровода среднего давления д. Новая Тушка - д. Старая Тушка Малмыжский район (ВП3654) (Замена ШРП-41)</t>
  </si>
  <si>
    <t>Реконструкция газопровода среднего давления КС Вятская - с. Рожки, Малмыжский район (ВП3650) (замена ШРП-10)</t>
  </si>
  <si>
    <t>Реконструкция газопровода среднего давления КС Вятская - с. Рожки, Малмыжский район (ВП3650) (замена ШРП-78)</t>
  </si>
  <si>
    <t>Реконструкция газопровода среднего давления КС Вятская - с. Рожки, Малмыжский район (ВП3650) (замена ШРП-79)</t>
  </si>
  <si>
    <t>Реконструкция газопровода среднего давления на завод по ремонту дизельных двигателей, г. Малмыжм (ВП000612) (замена ШРП-7)</t>
  </si>
  <si>
    <t>Реконструкция газопровода среднего давления до ШРП по ул. Ключевая в с. Тат-Верх-Гоньба Малмыжского района (ВП3634) (Замена ШРП-25)</t>
  </si>
  <si>
    <t>Реконструкция газопровода среднего и низкого давления, пер. Мирный,  г. Малмыж (ВП3468) (Замена ШРП-24)</t>
  </si>
  <si>
    <t>Реконструкция надземного  газопровода  среднего давления к котельной по ул. Куйбышева в г. Сосновка Вятскополянского района  (ВП3668) (Замена ШРП-3)</t>
  </si>
  <si>
    <t>Реконструкция газопровода среднего давления ул. Азина, г. Вятские Поляны, ГРП-8 (ВП000759)</t>
  </si>
  <si>
    <t>Реконструкция ГРП ул.Коммуны 34, пгт. Фаленки (ЗУ000051) (Замена ГРП-21)</t>
  </si>
  <si>
    <t>Реконструкция газопровода природного газа в мкр. 4, 6, 5, г.Кирово-Чепецк, ЗУ № 120 (КЧ003119)</t>
  </si>
  <si>
    <t>Реконструкция газопровода среднего давления МКР 1-2, 4 г. Кирово-Чепецк, ул. Победы, 5 (КЧ001083)</t>
  </si>
  <si>
    <t>Реконструкция газопровода высокого давления Оричевского района от ГРС6 (п. Стрижи) до выходной задвижки ГРП с. Пустоши, включая 2 ГРП п. Оричи, ГРП д. Сергеевы, ГРП п. Юбилейный, ГРП п. Торфяной, ШРП село Шалегово,  Оричевский район (КЧ000997)</t>
  </si>
  <si>
    <t>Реконструкция здания ГРП № 10 п. Юбилейный, Оричевский район (КЧ000999)</t>
  </si>
  <si>
    <t>Реконструкция здания ГРП № 11 п. Торфяной, Оричевский район (КЧ001000)</t>
  </si>
  <si>
    <t>Реконструкция здания ГРП № 4 п. Пустоши, Оричевский район, Кировская область (КЧ000998)</t>
  </si>
  <si>
    <t>Реконструкция ШРП ул. Первомайская, с. Лазарево Уржумского района (УР4881) (замена ПШГР-2)</t>
  </si>
  <si>
    <t>Реконструкция газопровода по Октябрьскому пр. 110, 112, 114, ул. Милицейская, 80 г. Киров (КГ001167)</t>
  </si>
  <si>
    <t>Реконструкция газопровода по ул. К.Либкнехта 146, 148, 150, ул. Красноармейская 54/1, 41 г. Киров (КГ004663)</t>
  </si>
  <si>
    <t>Реконструкция газопровода по ул. Ленина, 146, 150, 156, 162, 166 ул. Хлыновская, 1, 4, 4в, г, ж, з, д, .Верхосунская, 9, 9а, 19 г. Киров (КГ001752)</t>
  </si>
  <si>
    <t>Реконструкция газопровода по ул. Пугачева 20, 22, 24, ул. Левитана 2, 6, 8 г. Киров (КГ000492)</t>
  </si>
  <si>
    <t>Реконструкция газопровода по ул. Р.Люксембург, 80в, 82, 84, 84а, ул. Дерендяева, 19 г, ул. К. Маркса, 35, 35/1, 35/3, ул. К. Либкнехта 24, 34, г. Киров (КГ000291)</t>
  </si>
  <si>
    <t>Реконструкция газопровода по ул. Урицкого 10, 12, Советской 76 г. Киров (КГ075584)</t>
  </si>
  <si>
    <t>Реконструкция газопровода по ул.Дзержинского, 40, 46, 48, 50, 52 г. Киров (КГ006499)</t>
  </si>
  <si>
    <t>Реконструкция газопровода по ул.Ломоносова, 27, 29, 29а, 31, 33, Циолковского 1, 1а г. Киров (КГ075200)</t>
  </si>
  <si>
    <t>Распределительный газопровод по ул. Шинников до жилых домов 4, 5, 6, 8, 9, 11, 13 Ленинского района г.Кирова</t>
  </si>
  <si>
    <t>Распределительный газопровод в п.Сидоровка Первомайского района г.Кирова</t>
  </si>
  <si>
    <t>Реконструкция газопровода высокого давления Нововятское ЖБИ, г. Киров (КГ006410)</t>
  </si>
  <si>
    <t>Отключающее устройство на подземном газопроводе  высокого давления от АГРС-1 до ул. Ломоносова, г. Киров</t>
  </si>
  <si>
    <t>Реконструкция газопровода высокого давления  Кировская ССК г. Киров (КГ006440)</t>
  </si>
  <si>
    <t>Реконструкция газопровода высокого давления от ГРС до ГРП пос. Пасегово  (КГ077329) (ГРП-51)</t>
  </si>
  <si>
    <t>Реконструкция газопровода низкого давления ул.Гагарина, 3, г. Вятские Поляны (ВП000020)</t>
  </si>
  <si>
    <t>Реконструкция газопровода низкого давления ул.Школьная, 41, г. Вятские Поляны  (ВП000778)</t>
  </si>
  <si>
    <t>Реконструкция  газопровода низкого давления ул.Школьная, 43, г. Вятские Поляны (ВП000777)</t>
  </si>
  <si>
    <t>Реконструкция газопровода низкого давления ул.Азина 50, г. Вятские Поляны  (ВП000771)</t>
  </si>
  <si>
    <t>Реконструкция газопровода высокого давления от г.Малмыж до ШРП-2 с.Савали Малмыжского района (ВП3574)</t>
  </si>
  <si>
    <t>Реконструкция газопровода от ГРС до д. Нижняя Тойма Вятскополянского района (ВП3476)</t>
  </si>
  <si>
    <t>Газоснабжение жилых домов в д. Алдарово и д. Каменный Ключ Новосмаильского сельского округа Малмыжского района</t>
  </si>
  <si>
    <t>Реконструкция газопровода среднего давления от ШРП-2 до ШРП-3 с.Савали Малмыжский район (ВП3575) (Замена ШРП-16)</t>
  </si>
  <si>
    <t>Реконструкция газопровода низкого давления от ШРП-3 по ул.Октябрьской с.Савали Малмыжский район  (ВП3576)  (Замена ШРП-17)</t>
  </si>
  <si>
    <t>Реконструкция ГРП-2 РТП, пгт. Фаленки, ул. Сельская (ЗУ000016) (Замена ГРП-19)</t>
  </si>
  <si>
    <t>Реконструкция газопровода к д. 9, 10, 11, 12, 14 и 60-квартирный дом ТЭЦ-3 квартал 41, микрорайон 1,2 от уз.62 до уз.66 г.Кирово-Чепецк (КЧ045557)</t>
  </si>
  <si>
    <t>Распределительный газопровод в д. Чекоты Куменского района Кировской области</t>
  </si>
  <si>
    <t>Реконструкция газопровода по ул.Набережная 2, 4, 6, ул.Юбилейная 1, 2 ,ул.Транспортная 1, 2, 3, 4 п. Торфяной Оричевского района (КЧ002670)</t>
  </si>
  <si>
    <t>Реконструкция газопровода низкого давления г.Кирово-Чепецка микрорайон 3-3а (КЧ000755) (Замена ГРП-4)</t>
  </si>
  <si>
    <t>Перевод на природный газ мемориала "Вечный огонь" г.Слободского по адресу: ул. Екатерининская (Набережная р.Вятки за Соборной площадью)</t>
  </si>
  <si>
    <t>Газоснабжение д. Моржаны, Юрьянский район</t>
  </si>
  <si>
    <t>Газификация МКД по адресу: ул. Свободы, д. 94, г. Киров</t>
  </si>
  <si>
    <t>Реконструкция  подземных газопроводов Октябрьский проспект.27,27а;25;25а;23,29, и газопровода высокого и низкого давления от ГРП-21, г. Киров (КГ075818;КГ074706)</t>
  </si>
  <si>
    <t>Реконструкция подземного газопровода внеплощадочного высокого давления от ГРС №1 до входного фланца задвижки  в районе дома №51 по ул. Луганской, г. Киров (КГ078815)</t>
  </si>
  <si>
    <t>Реконструкция подземного газопровода высокого давления перед ШРП п.Сошени, Нововятского района, г.Киров (КГ076700)</t>
  </si>
  <si>
    <t>Реконструкция газопровода газопровода высокого давления до котельной МСЗ  в районе дома № 135 по ул. Ленина, г. Вятские Поляны (ВП000525)</t>
  </si>
  <si>
    <t>Реконструкция газопровода низкого давления ул.Октябрьская, Молодая, Зеленая, Пролетарская, д.Савали, Малмыжский район  (ВП3607)</t>
  </si>
  <si>
    <t>Реконструкция газопровода среднего и низкого давления от ул.Калинина до кирпичного здания, г. Вятские Поляны (ВП000509)</t>
  </si>
  <si>
    <t>Реконструкция газопровода среднего давления от Малмыжской РМЗ, г.Малмыж (ВП000612)</t>
  </si>
  <si>
    <t>Реконструкция газопровода высокого давления Спортзал-ГРП в районе дома № 145а по ул. Ленина, г. Вятские Поляны (ВП000756)</t>
  </si>
  <si>
    <t>Реконструкция газопровода высокого давления Малмыжский спиртоводочный завод с. Калинино, Малмыжский район (ВП000603)</t>
  </si>
  <si>
    <t>Реконструкция газопровода (кооп."Тойма-1") д. Нижняя Тойма, Вятскополянский район (ВП3488)</t>
  </si>
  <si>
    <t>Реконструкция  шкафной установки ГСГО в районе дома № 1б по ул.Кооперативная, г. Вятские Поляны (ВП000889)</t>
  </si>
  <si>
    <t>Реконструкция газопровода  высокого давления Слудка 114  д.Нижние Изиверки, Вятскополянский район (ВП000679)</t>
  </si>
  <si>
    <t>Реконструкция газопровода среднего давления ГРП1-ГРП5 в районе дома № 14а по ул. Кирова, г. Вятские Поляны (ВП000757)</t>
  </si>
  <si>
    <t>Реконструкция газопровода среднего давления от ул.Калинина по ул.Азина, Октябрьская до ГРП-3, г. Вятские Поляны (ВП3478)</t>
  </si>
  <si>
    <t>Реконструкция газопровода высокого давления от КС-20 до ГРП-1 с.Тат-Верх-Гоньба, Малмыжский район (ВП3652)</t>
  </si>
  <si>
    <t>Реконструкция головной ГРП РТП Фаленки, пгт. Фаленки (ЗУ000015)</t>
  </si>
  <si>
    <t>Реконструкция наружного газопровода МКР 21, г. Кирово-Чепецк (КЧ000903)</t>
  </si>
  <si>
    <t>Реконструкция газопровода высокого давления от ГРС6 (п. Стрижи) до выходной задвижки ГРП с. Пустоши,  Оричевский район (КЧ000997)</t>
  </si>
  <si>
    <t>Реконструкция газопровода среднего давления  МКР 8а, г. Кирово-Чепецк (КЧ000481)</t>
  </si>
  <si>
    <t>Реконструкция подземных и  наружных газопроводов п. Речное, Куменский район  (КЧ002610)</t>
  </si>
  <si>
    <t xml:space="preserve">Реконструкция газопровода природного газа МКР 4,6,5, квартал улиц Пушкина-Рудницкого-Красноармейская-Кооперативная, г. Кирово-Чепецк  (КЧ003119)
</t>
  </si>
  <si>
    <t>Реконструкция подземного газопровода  квартал улиц Горького-Калинина-Ленина-Мира, г. Кирово-Чепецк (КЧ003097)</t>
  </si>
  <si>
    <t xml:space="preserve">Распределительный газопровод в д. Салтыки Чепецкого сельского поселения, Кирово-Чепецкий район </t>
  </si>
  <si>
    <t>Реконструкция ГРП  Киров-200 пгт Лёвинцы, Оричевский район (КЧ002648)</t>
  </si>
  <si>
    <t>Реконструкция газопровода среднего давления к АГП  в районе дома № 7 по ул. Восточной, г. Зуевка (ЗУ000046)</t>
  </si>
  <si>
    <t>Газопроводы-вводы к МКД в д. Ленинская Искра, Котельнический район</t>
  </si>
  <si>
    <t xml:space="preserve">Газопроводы-вводы к МКД в г.Котельнич </t>
  </si>
  <si>
    <t>Газификация мемориала на земельном участке 43:43:311152:75, ул Советская, г. Котельнич</t>
  </si>
  <si>
    <t>Газопровод до БМК общеобразовательной школы, расположенной по адресу: Кировская область, г. Котельнич, ул. Школьная,з/у 19 (к.н. з/у 43:43:010740:669)</t>
  </si>
  <si>
    <t>Распределительный газопровод в д. Кузнецы, Слободской район</t>
  </si>
  <si>
    <t>Распределительный газопровод в д. Искра, Юрьянский район</t>
  </si>
  <si>
    <t>Реконструкция газопровода вдоль Октябрьского пр-т, от дома 4 до дома 16 в г.Кирове (КГ075025;КГ075024;КГ075050)</t>
  </si>
  <si>
    <t>Реконструкция газопровода пр-т Строителей, д.9 , мкр. Рудужный, г.Кирова (КГ006462)(ОУ 1-7-5778 и 1-7-5779)</t>
  </si>
  <si>
    <t>Реконструкция газопроводов в районе домов по Октябрьскому пр-т 51,53, ул.Кутшо д.2, г. Киров (КГ075871)</t>
  </si>
  <si>
    <t>Реконструкция газопровода высокого и среднего давления  ул. Р.Юровской 4,  в г.Кирове (КГ074592)(ГРП 1-3-36)</t>
  </si>
  <si>
    <t>Реконструкция надземного газопровода в месте пересечения с а/д сел.Савали Малмыжского района (ВП3610)</t>
  </si>
  <si>
    <t>Реконструкция надземного газопровода в месте пересечения с а/д г.Сосновка (ВП000728)</t>
  </si>
  <si>
    <t>Реконструкция межпоселкового газопровода в районе мкр. Мухино, г.Вятские Поляны и с. Слудка Вятскополянский р-на (ВП000678)(ОУ 15-1-10; ОУ 15-1-2)</t>
  </si>
  <si>
    <t>Реконструкция газопровода  ул. Луговая, г. Вятские Поляны (ВП3556) (ГРПШ 15-1-32)</t>
  </si>
  <si>
    <t>Реконструкция газопровода   ул. Лермонтова, г. Вятские Поляны (ВП3479) (ГРПШ 15-1-19)</t>
  </si>
  <si>
    <t>Реконструкция газопровода ул. Советская д. 84, г. Вятские Поляны (ВП000752) (ГРП 15-1-4)</t>
  </si>
  <si>
    <t>Реконструкция газопровода  ул. Цветочная, г. Вятские Поляны (ВП000557) (ГРПШ 15-1-7)</t>
  </si>
  <si>
    <t>Реконструкция газопровода низкого давления ул. Луначарского д. 20, 22, 22а, 24, 24а, ул. Мира д. 74, 74а, г. Кирово-Чепецк (КЧ003106; КЧ000750)</t>
  </si>
  <si>
    <t>Распределительный газопровод в д. Сунчиха Федяковское сельское поселение Кирово-Чепецкий района</t>
  </si>
  <si>
    <t>Реконструкция межпоселкового газопровода от с. Шалегово до п. Зеленый Оричевского района Кировской области (КЧ000956) (ГРПШ 5-3-42)</t>
  </si>
  <si>
    <t>Реконструкция межпоселкового газопровода от ГРС Стрижи до ГРП пгт Оричи на с.Истобенск, в районе ул.Базовая пгт Оричи (КЧ000957;КЧ001002)(ГРПШ 5-3-97; ГРП 5-3-2)</t>
  </si>
  <si>
    <t>Распределительный газопровод в д. Скоковы Слободского района Кировской области</t>
  </si>
  <si>
    <t>Распределительный газопровод в д. Карповы Слободского района Кировской области</t>
  </si>
  <si>
    <t>Газопровод до земельного участка с кадастровым № 43:44:310128:18 по адресу: Кировская область,         г. Слободской, ул. Первомайская, земельный участок № 74</t>
  </si>
  <si>
    <t>спецнадбавка</t>
  </si>
  <si>
    <t>Строительство</t>
  </si>
  <si>
    <t>Спецнадбавка</t>
  </si>
  <si>
    <t>Реконструкция</t>
  </si>
  <si>
    <t>Распределительный газопровод в д. Абдалы Слободского района Кировской области</t>
  </si>
  <si>
    <t>Распределительный газопровод в пос. Чирковский завод Слободского района Кировской области</t>
  </si>
  <si>
    <t>Раздел</t>
  </si>
  <si>
    <t>Этап жизненного цикла объекта</t>
  </si>
  <si>
    <t>количество потребителей</t>
  </si>
  <si>
    <t>протяженность, км</t>
  </si>
  <si>
    <t>дата начала</t>
  </si>
  <si>
    <t>дата завершения</t>
  </si>
  <si>
    <t>финансирование,
млн.
рублей</t>
  </si>
  <si>
    <t>Дата ввода в
эксплуатацию</t>
  </si>
  <si>
    <t>Группа потребителей</t>
  </si>
  <si>
    <t>источник</t>
  </si>
  <si>
    <t>Программа газификации жилищно-коммунального хозяйства, промышленных и иных организаций Кировской области на 2022 – 2031 годы</t>
  </si>
  <si>
    <t>всего</t>
  </si>
  <si>
    <t>иные источники</t>
  </si>
  <si>
    <t>ГРО</t>
  </si>
  <si>
    <t>ЕОГ</t>
  </si>
  <si>
    <t>собственник ЕСГ</t>
  </si>
  <si>
    <t>федеральный бюджет</t>
  </si>
  <si>
    <t>областной бюджет</t>
  </si>
  <si>
    <t>местный бюджет</t>
  </si>
  <si>
    <t>Программа развития газоснабжения и газификации Кировской области на период 2021 – 2025 годы, утвержденная Правительством Кировской области и ПАО «Газпром»</t>
  </si>
  <si>
    <t>Газопровод межпоселковый к дер. Нижние Малюганы Кирово-Чепецкого муниципального района Кировской области</t>
  </si>
  <si>
    <t>Газопровод межпоселковый к дер. Солоково Кирово-Чепецкого муниципального района Кировской области</t>
  </si>
  <si>
    <t>Газопровод межпоселковый к дер. Башланы Кирово-Чепецкого муниципального района Кировской области</t>
  </si>
  <si>
    <t>Газопровод межпоселковый к дер. Ванихинцы Кирово-Чепецкого муниципального района Кировской области</t>
  </si>
  <si>
    <t>Газопровод межпоселковый к дер. Сметанники Кирово-Чепецкого муниципального района Кировской области</t>
  </si>
  <si>
    <t>Газопровод межпоселковый к дер. Ложкины Кирово-Чепецкого муниципального района Кировской области</t>
  </si>
  <si>
    <t>Газопровод межпоселковый к дер. Пронькинцы Кирово-Чепецкого муниципального района Кировской области</t>
  </si>
  <si>
    <t>Газопровод межпоселковый к дер. Васькинцы Кирово-Чепецкого муниципального района Кировской области</t>
  </si>
  <si>
    <t>Газопровод межпоселковый от ГРП Полом - на д. Поповка - д. Гостево - д. Летовцы - д. Пантюхино с отключающим устройством на д. Максаки Кирово-Чепецкого района Кировской области</t>
  </si>
  <si>
    <t>Газопровод межпоселковый до д.Каркино Кирово-Чепецкого района Кировской области</t>
  </si>
  <si>
    <t>Газопровод межпоселковый от межпоселкового газопровода ГРС Просница - с. Ильинское на д. Единение с отключающим устройством на д. Сметанники Кирово-Чепецкого района Кировской области</t>
  </si>
  <si>
    <t>Газопровод межпоселковый к дер. Звени Кирово-Чепецкого муниципального района Кировской области</t>
  </si>
  <si>
    <t>Газопровод межпоселковый к дер. Ермолинцы Кирово-Чепецкого муниципального района Кировской области</t>
  </si>
  <si>
    <t>Газопровод межпоселковый к дер. Жуки и дер. Большая Рябовщина Кирово-Чепецкого муниципального района Кировской области</t>
  </si>
  <si>
    <t>Газопровод межпоселковый к дер. Пестеры Кирово-Чепецкого муниципального района Кировской области</t>
  </si>
  <si>
    <t>Газопровод межпоселковый к дер. Рыловщина Кирово-Чепецкого муниципального района Кировской области</t>
  </si>
  <si>
    <t>Газопровод межпоселковый от д. Поздино - на д. Татары - д. Кузнецы - д. Лубягино - д. Нагоряна с отключающим устройством на д. Мокрецы Кирово-Чепецкого района Кировской области</t>
  </si>
  <si>
    <t>Газопровод межпоселковый от газопровода на с. Бурмакино до д. Глушиха на д. Ерши - д. Голодница - п. Кстининского дома отдыха Кирово-Чепецкого района Кировской области</t>
  </si>
  <si>
    <t>Газопровод межпоселковый к дер. Ардашиха Куменского муниципального района Кировской области</t>
  </si>
  <si>
    <t>Газопровод межпоселковый от газопровода пгт Кумёны - п. Вичевщина на д. Большой Перелаз - д. Городчики - с. Бельтюги - с. Верхобыстрица - д. Желны - с. Березник с отключающими устройствами на д. Чекоты и д. Гвоздки Кумёнского района Кировской области</t>
  </si>
  <si>
    <t>Газопровод межпоселковый от газопровода пгт Кумены - п. Вичевщина до д. Плотники Куменского района Кировской области</t>
  </si>
  <si>
    <t>Газопровод межпоселковый к пгт Лебяжье Лебяжского муниципального округа Кировской области</t>
  </si>
  <si>
    <t>Газопровод межпоселковый от газопровода на д. Зоткино до д. Адово - д. Меркуши с отключающими устройствами на д. Петрушино, д. Верхний Чам, починок Александровский, д. Рублёво Уржумского района Кировской области</t>
  </si>
  <si>
    <t>Газопровод межпоселковый от с. Буйское до с. Байса с отводом на починок Лебедевский и отключающими устройствами на д. Мазары, починок Тарасовский, починок Кургановский Уржумского района Кировской области</t>
  </si>
  <si>
    <t>Газопровод межпоселковый от газопровода на с. Рождественское до д. Табеково Уржумского района Кировской области</t>
  </si>
  <si>
    <t>Газопровод межпоселковый к дер. Акбатырево Малмыжского муниципального района Кировской области</t>
  </si>
  <si>
    <t>Газопровод межпоселковый от газопровода г. Малмыж-д. Новый Ирюк до с. Гоньба Малмыжского района Кировской области</t>
  </si>
  <si>
    <t>Газопровод межпоселковый к с. Ральники, дер. Пивоварово, дер. Порез, дер. Пукшинерь и дер. Марьял Малмыжского муниципального района Кировской области</t>
  </si>
  <si>
    <t>Газопровод межпоселковый к дер. Шипицыны Оричевского муниципального района Кировской области</t>
  </si>
  <si>
    <t>Газопровод межпоселковый от п. Зеленый на д. Брагичи – с. Монастырщина - с отводом на с. Пищалье с отключающими устройствами на п. Быстряги, д. Тарасовы и д. Храмые Оричевского района Кировской области</t>
  </si>
  <si>
    <t>Газопровод межпоселковый к д. Рай Оричевского района Кировской области</t>
  </si>
  <si>
    <t xml:space="preserve">Газопровод межпоселковый к д. Сергеевы Оричевского района Кировской области </t>
  </si>
  <si>
    <t>Газопровод межпоселковый к д. Замятины Оричевского района Кировской области</t>
  </si>
  <si>
    <t>Газопровод межпоселковый к д. Таборы Оричевского района Кировской области</t>
  </si>
  <si>
    <t>Газопровод межпоселковый к д. Улановы Оричевского района Кировской области</t>
  </si>
  <si>
    <t>Газопровод межпоселковый к д. Смирновы Оричевского района Кировской области</t>
  </si>
  <si>
    <t>Газопровод межпоселковый к дер. Семеновы Слободского муниципального района Кировской области</t>
  </si>
  <si>
    <t>Газопровод межпоселковый к дер. Баташи Слободского муниципального района Кировской области</t>
  </si>
  <si>
    <t>Газопровод межпоселковый к дер. Нижние Булдаки Слободского муниципального района Кировской области</t>
  </si>
  <si>
    <t>Газопровод межпоселковый от с. Бобино на д. Сапожнята с отводом на д. Вотское с отключающими устройствами на д. Косолаповы, д. Семёновы Слободского района Кировской области</t>
  </si>
  <si>
    <t>Газопровод межпоселковый от пгт Мурыгино на с. Медяны - д. Подгорцы - с. Загарье Юрьянского района Кировской области</t>
  </si>
  <si>
    <t>Газопровод межпоселковый от газопровода п.Соколовка - с. Суна до д. Мусихи Зуевского района Кировской области</t>
  </si>
  <si>
    <t>Газопровод межпоселковый к дер. Бакули Слободского муниципального района Кировской области</t>
  </si>
  <si>
    <t>Газопровод межпоселковый к дер. Ситники и дер. Зотовы Слободского муниципального района Кировской области</t>
  </si>
  <si>
    <t>Газопровод межпоселковый к дер. Родионово Слободского муниципального района Кировской области</t>
  </si>
  <si>
    <t>Газопровод межпоселковый от д. Верхние Кропачи – на д. Понизовье – д. Салтыки – д. Яговкино – с. Ильинское – д. Слободка с отводом на п. Октябрьский и отключающим устройством на п. Белохолуницкий
Разъезд Слободского района Кировской области</t>
  </si>
  <si>
    <t>Газопровод межпоселковый от д. Слободка Слободского района до г. Белая Холуница – д. Пасегово с отводом на д. Гуренки Белохолуницкого района Кировской области</t>
  </si>
  <si>
    <t>Газопровод межпоселковый от д. Пасегово на д. Быданово с отводом на д. Великое Поле Белохолуницкого района Кировской области</t>
  </si>
  <si>
    <t>Газопровод межпоселковый от г.Белая Холуница - на д. Федосята - п. Климковка с отключающим устройством на д. Ракалово Белохолуницкого района Кировской области</t>
  </si>
  <si>
    <t xml:space="preserve">Газопровод межпоселковый от п. Кордяга до п. Чепецкий с отключающим устройством на с. Сезенево Зуевского района Кировской области </t>
  </si>
  <si>
    <t>Газопровод межпоселковый от газопровода с. Мухино - п. Октябрьский на д. Городище - д. Березник Зуевского района Кировской области</t>
  </si>
  <si>
    <t>Газопровод межпоселковый от д. Старки до д. Большие Пасынки Зуевского района Кировской области</t>
  </si>
  <si>
    <t>Газопровод межпоселковый от межпоселкового газопровода на п. Медведок до д. Чащино Нолинского района Кировской области</t>
  </si>
  <si>
    <t>Газопровод межпоселковый от межпоселкового газопровода на п. Медведок до д. Сомовщина Нолинского района Кировской области</t>
  </si>
  <si>
    <t>Газопровод межпоселковый от с. Архангельское - на д. Городище - д. Слудка-1 - с. Ильинское с отключающими устройствами на д. Шипишник и д. Барановщина Немского района Кировской области</t>
  </si>
  <si>
    <t>Газопровод межпоселковый от птицефабрики до д. Варнаки Нолинского района Кировской области</t>
  </si>
  <si>
    <t>Газопровод межпоселковый от газопровода ГРС Нолинск - с. Зыково до с. Ботыли с отключающим устройством на д. Зубари Нолинского района Кировской области</t>
  </si>
  <si>
    <t>Газопровод межпоселковый к д. Барановщина, с. Соколово Немского района Кировской области</t>
  </si>
  <si>
    <t>Газопровод межпоселковый от газопровода от с. Швариха до д. Хмелевка Нолинского района Кировской области</t>
  </si>
  <si>
    <t>Газопровод межпоселковый от газопровода г. Омутнинск - с. Залазна на п. Белореченск Омутнинского района Кировской области</t>
  </si>
  <si>
    <t>Газопровод межпоселковый от газопровода ГРС Лазарево - с.Шурма до д. Тюм-Тюм Уржумского района Кировской области</t>
  </si>
  <si>
    <t>Газопровод межпоселковый от газопровода ГРС Суна - с. Верхосунье до д. Жабриевская - д. Гари с отключающим устройством на д. Дворища Сунского района Кировской области</t>
  </si>
  <si>
    <t>Газопровод межпоселковый к пгт Арбаж Арбажского муниципального округа Кировской области</t>
  </si>
  <si>
    <t>Газопровод межпоселковый к пгт Кикнур Кикнурского муниципального округа Кировской области</t>
  </si>
  <si>
    <t>Газопровод межпоселковый к пгт Пижанка Пижанского муниципального округа Кировской области</t>
  </si>
  <si>
    <t>Газопровод межпоселковый к г. Советск Советского муниципального района Кировской области</t>
  </si>
  <si>
    <t>Газопровод межпоселковый к пгт Тужа Тужинского муниципального района Кировской области</t>
  </si>
  <si>
    <t>Газопровод межпоселковый к г. Яранск Яранского муниципального района Кировской области</t>
  </si>
  <si>
    <t>Газопровод межпоселковый к пгт Кильмезь Кильмезского муниципального района Кировской области</t>
  </si>
  <si>
    <t>Межпоселковый газопровод от ГРС Марийский НПЗ до пгт Килемары Республики Марий Эл. Этап 2 Строительство межпоселкового газопровода от границы Республики Марий Эл до пгт Санчурск Кировской области</t>
  </si>
  <si>
    <t>Межпоселковый газопровод от ГРС Марийский НПЗ до пгт Килемары Республики Марий Эл. Этап 3 Строительство межпоселкового газопровода от пгт Санчурск Кировской области до границы Республики Марий Эл</t>
  </si>
  <si>
    <t>Газопровод межпоселковый от ГРС Нижнеивкино до пгт Нижнеивкино Куменского района Кировской области</t>
  </si>
  <si>
    <t>Газопровод межпоселковый от ГРС Нижнеивкино - пгт Нижнеивкино Куменского района на с. Адышево Оричевского района Кировской области</t>
  </si>
  <si>
    <t>Газопровод межпоселковый от ГРС Нижнеивкино -  - пгт Нижнеивкино Куменского района на д. Кучелапы Оричевского района Кировской области</t>
  </si>
  <si>
    <t>Газопровод межпоселковый от с. Адышево Оричевского района до п. Быстрицкий тубсанаторий Кирово-Чепецкого района Кировской области</t>
  </si>
  <si>
    <t>Газопровод межпоселковый от д. Кучелапы Оричевского района - пгт Верхошижемье с отводом на д. Пунгино, с. Илгань и отключающим устройством на д. Безденежные Верхошижемского района Кировской области</t>
  </si>
  <si>
    <t>Газопровод межпоселковый от газопровода ГРС Нижнеивкино - пгт Нижнеивкино Куменского района на д. Угор - с. Среднеивкино с отводом на д. Сырда и отключающими устройствами на д. Сычёво, д. Калачиги Верхошижемского района и на д. Седуново Куменского района Кировской области</t>
  </si>
  <si>
    <t>Газопровод межпоселковый от газопровода ГРС Нижнеивкино - пгт Нижнеивкино на д. Барановщина - с. Раменье Куменского района Кировской области</t>
  </si>
  <si>
    <t>Газопровод межпоселковый к дер. Рублево Кирово-Чепецкого муниципального района Кировской области</t>
  </si>
  <si>
    <t>Газопровод межпоселковый от межпоселкового газопровода от ГРС-2 (ТЭЦ-5) до мкр. Новый - мкр. Чистые Пруды на д. Чирки Ленинского района г. Кирова*****</t>
  </si>
  <si>
    <t>Газопровод межпоселковый от д.Дым-Дым-Омга - на д. Виноградово с отводом на д. Новый Пинигерь, п. Казанка и отключающим устройством на п. Матанский Кордон Вятскополянского района Кировской области*****</t>
  </si>
  <si>
    <t>Газопровод межпоселковый от газопровода г. Вятские Поляны -с.Слудка до д. Каракули- д. Луговой Изран Вятскополянского района Кировской области*****</t>
  </si>
  <si>
    <t>Газопровод межпоселковый от газопровода д. Машкачи - д. Никульчино- на д. Подлевские - д. Сунцовы - п. Сидоровка Первомайского района г. Кирова с отключающими устройствами на  д. Боровые - д. Нижние Булдаки - д. Верхние Булдаки - д. Кузнецы - д. Сименихины -д. Конец Слободского района Кировской области*****</t>
  </si>
  <si>
    <t>Газопровод межпоселковый от межпоселкового газопровода д. Мурино - с. Курчум до д. Здерихино с отключающим устройством на д. Горбуново Сунского района Кировской области*****</t>
  </si>
  <si>
    <t>Газопровод межпоселковый от ГРП Полом - на д. Поповка - д. Гостево - д. Летовцы - д. Пантюхино с отключающим устройством на д. Максаки Кирово-Чепецкого района Кировской области*****</t>
  </si>
  <si>
    <t>Газопровод межпоселковый ГРС Сосновка-д. Старая Малиновка-д. Гремячка с отводом на д. Новая Малиновка Вятскополянского района Кировской области*****</t>
  </si>
  <si>
    <t>Газопровод межпоселковый от пгт Лёвинцы на д. Озерные Оричевского района – д. Салтыки Кирово-Чепецкого района с отводом на д. Трапицыны и п. Майский Оричевского района Кировской области*****</t>
  </si>
  <si>
    <t>Газопровод межпоселковый (распределительный) (лупинг) до мкр спичфабрики "Красная звезда" Первомайского района г. Кирова*****</t>
  </si>
  <si>
    <t>2.2</t>
  </si>
  <si>
    <t>2.3</t>
  </si>
  <si>
    <t>2.4</t>
  </si>
  <si>
    <t>1.1.1.1.2</t>
  </si>
  <si>
    <t>1.1.1.1.3</t>
  </si>
  <si>
    <t>1.1.1.1.4</t>
  </si>
  <si>
    <t>1.1.1.1.5</t>
  </si>
  <si>
    <t>1.1.1.1.6</t>
  </si>
  <si>
    <t>1.1.1.1.7</t>
  </si>
  <si>
    <t>1.1.1.1.8</t>
  </si>
  <si>
    <t>1.1.1.1.9</t>
  </si>
  <si>
    <t>1.1.1.1.10</t>
  </si>
  <si>
    <t>1.1.1.1.11</t>
  </si>
  <si>
    <t>1.1.1.1.12</t>
  </si>
  <si>
    <t>1.1.1.1.13</t>
  </si>
  <si>
    <t>1.1.1.1.14</t>
  </si>
  <si>
    <t>1.1.1.1.15</t>
  </si>
  <si>
    <t>1.1.1.1.16</t>
  </si>
  <si>
    <t>1.1.1.1.17</t>
  </si>
  <si>
    <t>1.1.1.1.18</t>
  </si>
  <si>
    <t>1.1.1.1.19</t>
  </si>
  <si>
    <t>1.1.1.1.20</t>
  </si>
  <si>
    <t>1.1.1.1.21</t>
  </si>
  <si>
    <t>1.1.1.1.22</t>
  </si>
  <si>
    <t>1.1.1.1.23</t>
  </si>
  <si>
    <t>1.1.1.1.24</t>
  </si>
  <si>
    <t>1.1.1.1.25</t>
  </si>
  <si>
    <t>1.1.1.1.26</t>
  </si>
  <si>
    <t>1.1.1.1.27</t>
  </si>
  <si>
    <t>1.1.1.1.28</t>
  </si>
  <si>
    <t>1.1.1.1.29</t>
  </si>
  <si>
    <t>1.1.1.1.30</t>
  </si>
  <si>
    <t>1.1.1.1.31</t>
  </si>
  <si>
    <t>1.1.1.1.32</t>
  </si>
  <si>
    <t>1.1.1.1.33</t>
  </si>
  <si>
    <t>1.1.1.1.34</t>
  </si>
  <si>
    <t>1.1.1.1.35</t>
  </si>
  <si>
    <t>1.1.1.1.36</t>
  </si>
  <si>
    <t>1.1.1.1.37</t>
  </si>
  <si>
    <t>1.1.1.1.38</t>
  </si>
  <si>
    <t>1.1.1.1.39</t>
  </si>
  <si>
    <t>1.1.1.1.40</t>
  </si>
  <si>
    <t>1.1.1.1.41</t>
  </si>
  <si>
    <t>1.1.1.1.42</t>
  </si>
  <si>
    <t>1.1.1.1.43</t>
  </si>
  <si>
    <t>1.1.1.1.44</t>
  </si>
  <si>
    <t>1.1.1.1.45</t>
  </si>
  <si>
    <t>1.1.1.1.46</t>
  </si>
  <si>
    <t>1.1.1.1.47</t>
  </si>
  <si>
    <t>1.1.1.1.48</t>
  </si>
  <si>
    <t>1.1.1.1.49</t>
  </si>
  <si>
    <t>1.1.1.1.50</t>
  </si>
  <si>
    <t>1.1.1.1.51</t>
  </si>
  <si>
    <t>1.1.1.1.52</t>
  </si>
  <si>
    <t>1.1.1.1.53</t>
  </si>
  <si>
    <t>1.1.1.1.54</t>
  </si>
  <si>
    <t>1.1.1.1.55</t>
  </si>
  <si>
    <t>1.1.1.1.56</t>
  </si>
  <si>
    <t>1.1.1.1.57</t>
  </si>
  <si>
    <t>1.1.1.1.58</t>
  </si>
  <si>
    <t>1.1.1.1.59</t>
  </si>
  <si>
    <t>1.1.1.1.60</t>
  </si>
  <si>
    <t>1.1.1.1.61</t>
  </si>
  <si>
    <t>1.1.1.1.62</t>
  </si>
  <si>
    <t>1.1.1.1.63</t>
  </si>
  <si>
    <t>1.1.1.1.64</t>
  </si>
  <si>
    <t>1.1.1.1.65</t>
  </si>
  <si>
    <t>1.1.1.1.66</t>
  </si>
  <si>
    <t>1.1.1.1.67</t>
  </si>
  <si>
    <t>1.1.1.1.68</t>
  </si>
  <si>
    <t>1.1.1.1.69</t>
  </si>
  <si>
    <t>1.1.1.1.70</t>
  </si>
  <si>
    <t>1.1.1.1.71</t>
  </si>
  <si>
    <t>1.1.1.1.72</t>
  </si>
  <si>
    <t>1.1.1.1.73</t>
  </si>
  <si>
    <t>1.1.1.1.74</t>
  </si>
  <si>
    <t>1.1.1.1.75</t>
  </si>
  <si>
    <t>1.1.1.1.76</t>
  </si>
  <si>
    <t>1.1.1.1.77</t>
  </si>
  <si>
    <t>1.1.1.1.78</t>
  </si>
  <si>
    <t>1.1.1.1.79</t>
  </si>
  <si>
    <t>1.1.1.1.80</t>
  </si>
  <si>
    <t>1.1.1.1.81</t>
  </si>
  <si>
    <t>1.1.1.1.82</t>
  </si>
  <si>
    <t>1.1.1.1.83</t>
  </si>
  <si>
    <t>1.1.1.1.84</t>
  </si>
  <si>
    <t>1.1.1.1.85</t>
  </si>
  <si>
    <t>1.1.1.1.86</t>
  </si>
  <si>
    <t>1.1.1.1.87</t>
  </si>
  <si>
    <t>1.1.1.1.88</t>
  </si>
  <si>
    <t>1.1.1.1.89</t>
  </si>
  <si>
    <t>1.1.1.1.1.2</t>
  </si>
  <si>
    <t>1.1.1.1.1.3</t>
  </si>
  <si>
    <t>1.1.1.1.1.4</t>
  </si>
  <si>
    <t>1.1.1.1.1.5</t>
  </si>
  <si>
    <t>1.1.1.1.1.6</t>
  </si>
  <si>
    <t>1.1.1.1.1.7</t>
  </si>
  <si>
    <t>1.1.1.1.1.8</t>
  </si>
  <si>
    <t>1.1.1.1.1.9</t>
  </si>
  <si>
    <t>1.1.1.1.1.10</t>
  </si>
  <si>
    <t>1.1.1.1.1.11</t>
  </si>
  <si>
    <t>1.1.1.1.1.12</t>
  </si>
  <si>
    <t>1.1.1.1.1.13</t>
  </si>
  <si>
    <t>1.1.1.1.1.14</t>
  </si>
  <si>
    <t>1.1.1.1.1.15</t>
  </si>
  <si>
    <t>1.1.1.1.1.16</t>
  </si>
  <si>
    <t>1.1.1.1.1.17</t>
  </si>
  <si>
    <t>1.1.1.1.1.18</t>
  </si>
  <si>
    <t>1.1.1.1.1.19</t>
  </si>
  <si>
    <t>1.1.1.1.1.20</t>
  </si>
  <si>
    <t>1.1.1.1.1.21</t>
  </si>
  <si>
    <t>1.1.1.1.1.22</t>
  </si>
  <si>
    <t>1.1.1.1.1.23</t>
  </si>
  <si>
    <t>1.1.1.1.1.24</t>
  </si>
  <si>
    <t>1.1.1.1.1.25</t>
  </si>
  <si>
    <t>1.1.1.1.1.26</t>
  </si>
  <si>
    <t>1.1.1.1.1.27</t>
  </si>
  <si>
    <t>1.1.1.1.1.28</t>
  </si>
  <si>
    <t>1.1.1.1.1.29</t>
  </si>
  <si>
    <t>1.1.1.1.1.30</t>
  </si>
  <si>
    <t>1.1.1.1.1.31</t>
  </si>
  <si>
    <t>1.1.1.1.1.32</t>
  </si>
  <si>
    <t>1.1.1.1.1.33</t>
  </si>
  <si>
    <t>1.1.1.1.1.34</t>
  </si>
  <si>
    <t>1.1.1.1.1.35</t>
  </si>
  <si>
    <t>1.1.1.1.1.36</t>
  </si>
  <si>
    <t>1.1.1.1.1.37</t>
  </si>
  <si>
    <t>1.1.1.1.1.38</t>
  </si>
  <si>
    <t>1.1.1.1.1.39</t>
  </si>
  <si>
    <t>1.1.1.1.1.40</t>
  </si>
  <si>
    <t>1.1.1.1.1.41</t>
  </si>
  <si>
    <t>1.1.1.1.1.42</t>
  </si>
  <si>
    <t>1.1.1.1.1.43</t>
  </si>
  <si>
    <t>1.1.1.1.1.44</t>
  </si>
  <si>
    <t>1.1.1.1.1.45</t>
  </si>
  <si>
    <t>1.1.1.1.1.46</t>
  </si>
  <si>
    <t>1.1.1.1.1.47</t>
  </si>
  <si>
    <t>1.1.1.1.1.48</t>
  </si>
  <si>
    <t>1.1.1.1.1.49</t>
  </si>
  <si>
    <t>1.1.1.1.1.50</t>
  </si>
  <si>
    <t>1.1.1.1.1.51</t>
  </si>
  <si>
    <t>1.1.1.1.1.52</t>
  </si>
  <si>
    <t>1.1.1.1.1.53</t>
  </si>
  <si>
    <t>1.1.1.1.1.54</t>
  </si>
  <si>
    <t>1.1.1.1.1.55</t>
  </si>
  <si>
    <t>1.1.1.1.1.56</t>
  </si>
  <si>
    <t>1.1.1.1.1.57</t>
  </si>
  <si>
    <t>1.1.1.1.1.58</t>
  </si>
  <si>
    <t>1.1.1.1.1.59</t>
  </si>
  <si>
    <t>1.1.1.1.1.60</t>
  </si>
  <si>
    <t>1.1.1.1.1.61</t>
  </si>
  <si>
    <t>1.1.1.1.1.62</t>
  </si>
  <si>
    <t>1.1.1.1.1.63</t>
  </si>
  <si>
    <t>1.1.1.1.1.64</t>
  </si>
  <si>
    <t>1.1.1.1.1.65</t>
  </si>
  <si>
    <t>1.1.1.1.1.66</t>
  </si>
  <si>
    <t>1.1.1.1.1.67</t>
  </si>
  <si>
    <t>1.1.1.1.1.68</t>
  </si>
  <si>
    <t>1.1.1.1.1.69</t>
  </si>
  <si>
    <t>1.1.1.1.1.70</t>
  </si>
  <si>
    <t>1.1.1.1.1.71</t>
  </si>
  <si>
    <t>1.1.1.1.1.72</t>
  </si>
  <si>
    <t>1.1.1.1.1.73</t>
  </si>
  <si>
    <t>1.1.1.1.1.74</t>
  </si>
  <si>
    <t>1.1.1.1.1.75</t>
  </si>
  <si>
    <t>1.1.1.1.1.76</t>
  </si>
  <si>
    <t>1.1.1.1.1.77</t>
  </si>
  <si>
    <t>1.1.1.1.1.78</t>
  </si>
  <si>
    <t>1.1.1.1.1.79</t>
  </si>
  <si>
    <t>1.1.1.1.1.80</t>
  </si>
  <si>
    <t>1.1.1.1.1.81</t>
  </si>
  <si>
    <t>1.1.1.1.1.82</t>
  </si>
  <si>
    <t>1.1.1.1.1.83</t>
  </si>
  <si>
    <t>1.1.1.1.1.84</t>
  </si>
  <si>
    <t>1.1.1.1.1.85</t>
  </si>
  <si>
    <t>1.1.1.1.1.86</t>
  </si>
  <si>
    <t>1.1.1.1.1.87</t>
  </si>
  <si>
    <t>1.1.1.1.1.88</t>
  </si>
  <si>
    <t>1.1.1.1.1.89</t>
  </si>
  <si>
    <t>1.1.1.1.1.90</t>
  </si>
  <si>
    <t>1.1.1.1.1.91</t>
  </si>
  <si>
    <t>1.1.1.1.1.92</t>
  </si>
  <si>
    <t>1.1.1.1.1.93</t>
  </si>
  <si>
    <t>1.1.1.1.1.94</t>
  </si>
  <si>
    <t>1.1.1.1.1.95</t>
  </si>
  <si>
    <t>1.1.1.1.1.96</t>
  </si>
  <si>
    <t>1.1.1.1.1.97</t>
  </si>
  <si>
    <t>1.1.1.1.1.98</t>
  </si>
  <si>
    <t>1.1.1.1.1.99</t>
  </si>
  <si>
    <t>1.1.1.1.1.100</t>
  </si>
  <si>
    <t>1.1.1.1.1.101</t>
  </si>
  <si>
    <t>1.1.1.1.1.102</t>
  </si>
  <si>
    <t>1.1.1.1.1.103</t>
  </si>
  <si>
    <t>1.1.1.1.1.104</t>
  </si>
  <si>
    <t>1.1.1.1.1.105</t>
  </si>
  <si>
    <t>1.1.1.1.1.106</t>
  </si>
  <si>
    <t>1.1.1.1.1.107</t>
  </si>
  <si>
    <t>1.1.1.1.1.108</t>
  </si>
  <si>
    <t>1.1.1.1.1.109</t>
  </si>
  <si>
    <t>1.1.1.1.1.110</t>
  </si>
  <si>
    <t>1.1.1.1.1.111</t>
  </si>
  <si>
    <t>1.1.1.1.1.112</t>
  </si>
  <si>
    <t>1.1.1.1.1.113</t>
  </si>
  <si>
    <t>1.1.1.1.1.114</t>
  </si>
  <si>
    <t>1.1.1.1.1.115</t>
  </si>
  <si>
    <t>1.1.1.1.1.116</t>
  </si>
  <si>
    <t>Газопровод-отвод и ГРС Советск</t>
  </si>
  <si>
    <t>Газопровод-отвод и ГРС Кильмезь</t>
  </si>
  <si>
    <t>Газопровод-отвод и ГРС Нижнеивкино Кировской области</t>
  </si>
  <si>
    <t>1.1.1.2</t>
  </si>
  <si>
    <t>1.1.1.3</t>
  </si>
  <si>
    <t>1.1.1.4</t>
  </si>
  <si>
    <t>Реконструкция ГРС ТЭЦ-5</t>
  </si>
  <si>
    <t>реконструкция</t>
  </si>
  <si>
    <t>Строительство АГНКС-3 г. Киров</t>
  </si>
  <si>
    <t>Строительство подводящего газопровода к АГНКС-3 г. Киров</t>
  </si>
  <si>
    <t>Строительство АГНКС д. Гнусино, Р-176, справа</t>
  </si>
  <si>
    <t>Строительство подводящего газопровода к АГНКС д. Гнусино, Р-176, справа</t>
  </si>
  <si>
    <t>3.2</t>
  </si>
  <si>
    <t>3.3</t>
  </si>
  <si>
    <t>3.4</t>
  </si>
  <si>
    <t>строительство</t>
  </si>
  <si>
    <t>Программа «Газификация Кировской области по строительству и реконструкции газораспределительных сетей», финансируемая за счет средств специальных надбавок к тарифам на услуги по транспортировке газа по газораспределительным сетям</t>
  </si>
  <si>
    <t>население, юридические лица</t>
  </si>
  <si>
    <t>Догазификация газифицированных населенных пунктов Кировской области***</t>
  </si>
  <si>
    <t>Программа газификации Кировской области на 2019 – 2023 годы, реализуемая в рамках регуляторного контракта</t>
  </si>
  <si>
    <t>средства организации (заем ЕОГ - капитальные вложения)</t>
  </si>
  <si>
    <t>средства организации (заем ЕОГ - текущие затраты)</t>
  </si>
  <si>
    <t>спецнадбавка - капитальные вложения</t>
  </si>
  <si>
    <t>спецнадбавка - текущие затраты</t>
  </si>
  <si>
    <t>Регистрация права собственности на объекты газораспределения, ранее являвшиеся бесхозяйными****</t>
  </si>
  <si>
    <t>* Информацию об объемах финансирования мероприятий, предусмотренных пунктом 2.1 раздела 2 настоящей Программы и реализуемых с привлечением инвестиций ПАО «Газпром», ПАО «Газпром» не предоставляет.
** Сроки реализации, объемы и источники финансирования мероприятия будут определены после утверждения планов-графиков синхронизации выполнения программ газификации регионов Российской Федерации на последующие периоды.
*** Подробная информация о мероприятиях, выполняемых в рамках догазификации газифицированных населенных пунктов Кировской области, представлена в приложениии № 10 к Программе.
**** Протяженность бесхозяйных объектов газораспределения, сроки реализации и объемы финансирования мероприятий, связанных с государственной регистрацией права собственности на бесхозяйные объекты газораспределения, уточняются по мере выявления бесхозяйных объектов газораспределения.
***** Объекты газификации приняты к бухгалтерскому учету обществом с ограниченной ответственностью «Газпром межрегионгаз» в качестве объектов основных средств после 01.01.2022».</t>
  </si>
  <si>
    <t>население</t>
  </si>
  <si>
    <t>Сводная сметная стоимость (без НДС)</t>
  </si>
  <si>
    <t>Реконструкция ГРПБ, ул. Лепсе, 25, г. Киров (инв. номер КГ000014)</t>
  </si>
  <si>
    <t>Газопровод распределительный в дер. Нижние Малюганы Кирово-Чепецкого муниципального района Кировской области</t>
  </si>
  <si>
    <t>Газопровод распределительный в дер. Солоково Кирово-Чепецкого муниципального района Кировской области</t>
  </si>
  <si>
    <t>Газопровод распределительный в дер. Башланы Кирово-Чепецкого муниципального района Кировской области</t>
  </si>
  <si>
    <t>Газопровод распределительный в дер. Ванихинцы Кирово-Чепецкого муниципального района Кировской области</t>
  </si>
  <si>
    <t>Газопровод распределительный в дер. Сметанники Кирово-Чепецкого муниципального района Кировской области</t>
  </si>
  <si>
    <t>Газопровод распределительный в дер. Ложкины Кирово-Чепецкого муниципального района Кировской области</t>
  </si>
  <si>
    <t>Газопровод распределительный в дер. Пронькинцы Кирово-Чепецкого муниципального района Кировской области</t>
  </si>
  <si>
    <t>Газопровод распределительный в дер. Васькинцы Кирово-Чепецкого муниципального района Кировской области</t>
  </si>
  <si>
    <t xml:space="preserve">Распределительный газопровод в д. Поповка Кирово-Чепецкого района Кировской области </t>
  </si>
  <si>
    <t xml:space="preserve">Распределительный газопровод в д. Гостево  Кирово-Чепецкого района Кировской области </t>
  </si>
  <si>
    <t xml:space="preserve">Распределительный газопровод в д. Летовцы Кирово-Чепецкого района Кировской области </t>
  </si>
  <si>
    <t xml:space="preserve">Распределительный газопровод в д. Пантюхино Кирово-Чепецкого района Кировской области </t>
  </si>
  <si>
    <t xml:space="preserve">Газопровод распределительный в д.Каркино Кирово-Чепецкого района Кировской области </t>
  </si>
  <si>
    <t>Газопровод распределительный в дер. Звени Кирово-Чепецкого муниципального района Кировской области</t>
  </si>
  <si>
    <t>Газопровод распределительный в дер. Ермолинцы Кирово-Чепецкого муниципального района Кировской области</t>
  </si>
  <si>
    <t>Газопровод распределительный в дер. Жуки Кирово-Чепецкого муниципального района Кировской области</t>
  </si>
  <si>
    <t>Газопровод распределительный в дер. Большая Рябовщина Кирово-Чепецкого муниципального района Кировской области</t>
  </si>
  <si>
    <t>Газопровод распределительный в дер. Пестеры Кирово-Чепецкого муниципального района Кировской области</t>
  </si>
  <si>
    <t>Газопровод распределительный в дер. Рыловщина Кирово-Чепецкого муниципального района Кировской области</t>
  </si>
  <si>
    <t>Распределительный газопровод в д.Татары Кирово-Чепецкого района Кировской области</t>
  </si>
  <si>
    <t>Распределительный газопровод в д.Кузнецы Кирово-Чепецкого района Кировской области</t>
  </si>
  <si>
    <t>Распределительный газопровод в д.Лубягино Кирово-Чепецкого района Кировской области</t>
  </si>
  <si>
    <t>Распределительный газопровод в д. Нагоряна Кирово-Чепецкого района Кировской области</t>
  </si>
  <si>
    <t>Распределительный газопровод в д.Глушиха  Кирово-Чепецкого района Кировской области</t>
  </si>
  <si>
    <t>Распределительный газопровод в д.Ерши  Кирово-Чепецкого района Кировской области</t>
  </si>
  <si>
    <t>Распределительный газопровод в д. Голодница  Кирово-Чепецкого района Кировской области</t>
  </si>
  <si>
    <t>Распределительный газопровод в п. Кстининского дома отдыха  Кирово-Чепецкого района Кировской области</t>
  </si>
  <si>
    <t>Газопровод распределительный в дер. Ардашиха Куменского муниципального района Кировской области</t>
  </si>
  <si>
    <t>Распределительный газопровод в д. Городчики Кумёнского района Кировской области</t>
  </si>
  <si>
    <t>Распределительный газопровод в д. Плотники Куменского района  Кировской области</t>
  </si>
  <si>
    <t>Газопровод распределительный в пгт Лебяжье Лебяжского муниципального округа Кировской области</t>
  </si>
  <si>
    <t>Распределительный газопровод в д. Меркуши Уржумского района Кировской области</t>
  </si>
  <si>
    <t>Распределительный газопровод в  д. Адово Уржумского района Кировской области</t>
  </si>
  <si>
    <t>Распределительный газопровод в с. Байса Уржумского района  Кировской области</t>
  </si>
  <si>
    <t>Распределительный газопровод в поч. Лебедевский Уржумского района  Кировской области</t>
  </si>
  <si>
    <t>Распределительный газопровод в д.Табеково Уржумского района Кировской области</t>
  </si>
  <si>
    <t>Газопровод распределительный в дер. Акбатырево Малмыжского муниципального района Кировской области</t>
  </si>
  <si>
    <t>Газопровод распределительный в с. Ральники Малмыжского муниципального района Кировской области</t>
  </si>
  <si>
    <t>Газопровод распределительный в дер. Пивоварово Малмыжского муниципального района Кировской области</t>
  </si>
  <si>
    <t>Газопровод распределительный в дер. Порез Малмыжского муниципального района Кировской области</t>
  </si>
  <si>
    <t>Газопровод распределительный в дер. Пукшинерь Малмыжского муниципального района Кировской области</t>
  </si>
  <si>
    <t>Газопровод распределительный в дер. Марьял Малмыжского муниципального района Кировской области</t>
  </si>
  <si>
    <t>Газопровод распределительный в дер. Шипицыны Оричевского муниципального района Кировской области</t>
  </si>
  <si>
    <t>Распределительный газопровод в д. Брагичи Оричевского района Кировской области</t>
  </si>
  <si>
    <t>Распределительный газопровод в с. Монастырщина Оричевского района  Кировской области</t>
  </si>
  <si>
    <t>Распределительный газопровод в с. Пищалье Оричевского района Кировской области</t>
  </si>
  <si>
    <t>Распределительный газопровод в  д. Рай Оричевского района Кировской области</t>
  </si>
  <si>
    <t>Распределительный газопровод в д. Сергеевы Оричевского района Кировской области</t>
  </si>
  <si>
    <t>Распределительный газопровод в  д. Замятины Оричевского района Кировской области</t>
  </si>
  <si>
    <t>Распределительный газопровод в  д. Таборы Оричевского района Кировской области</t>
  </si>
  <si>
    <t>Распределительный газопровод в  д. Улановы Оричевского района Кировской области</t>
  </si>
  <si>
    <t>Распределительный газопровод в  д. Смирновы Оричевского района Кировской области</t>
  </si>
  <si>
    <t>Газопровод распределительный в дер. Семеновы Слободского муниципального района Кировской области</t>
  </si>
  <si>
    <t>Газопровод распределительный в дер. Баташи Слободского муниципального района Кировской области</t>
  </si>
  <si>
    <t>Газопровод распределительный в дер. Нижние Булдаки Слободского муниципального района Кировской области</t>
  </si>
  <si>
    <t>Распределительный газопровод в д. Сапожнята Слободского района Кировской области</t>
  </si>
  <si>
    <t xml:space="preserve">Распределительный газопровод в   д. Вотское Слободского района Кировской области </t>
  </si>
  <si>
    <t>Распределительный газопровод в с. Медяны Юрьянского района Кировской области</t>
  </si>
  <si>
    <t>Распределительный газопровод в  д. Подгорцы  Юрьянского района Кировской области</t>
  </si>
  <si>
    <t>Распределительный газопровод в  с. Загарье Юрьянского района Кировской области</t>
  </si>
  <si>
    <t>Распределительный газопровод в д. Мусихи Зуевского района Кировской области</t>
  </si>
  <si>
    <t>Газопровод распределительный в дер. Бакули Слободского муниципального района Кировской области</t>
  </si>
  <si>
    <t>Газопровод распределительный в дер. Зотовы Слободского муниципального района Кировской области</t>
  </si>
  <si>
    <t>Газопровод распределительный в дер. Ситники Слободского муниципального района Кировской области</t>
  </si>
  <si>
    <t>Газопровод распределительный в дер. Родионово Слободского муниципального района Кировской области</t>
  </si>
  <si>
    <t>Распределмтельный газопровод в г. Белая Холуница Белохолуницкого района Кировской области</t>
  </si>
  <si>
    <t>Распределительный газопровод в  д. Пасегово  Белохолуницкого района Кировской области</t>
  </si>
  <si>
    <t>Распределительный газопровод в  д.Быданово  Белохолуницкого района Кировской области</t>
  </si>
  <si>
    <t>Распределительный газопровод в  д. Великое Поле Белохолуницкого района Кировской области</t>
  </si>
  <si>
    <t>Распределительный газопровод в д. Федосята  Белохолуницкого района Кировской области</t>
  </si>
  <si>
    <t>Распределительный газопровод в п. Климковка Белохолуницкого района Кировской области</t>
  </si>
  <si>
    <t xml:space="preserve">Распределительный газопровод в  п. Чепецкий  Зуевского района Кировской области </t>
  </si>
  <si>
    <t>Распределительный газопровод в  д. Городище Зуевского района Кировской области</t>
  </si>
  <si>
    <t>Распределительный газопровод в   д. Березник Зуевского района Кировской области</t>
  </si>
  <si>
    <t>Распределительный газопровод в д. Большие Пасынки Зуевского района Кировской области</t>
  </si>
  <si>
    <t>Распределительный газопровод в д. Чащино Нолинского района Кировской области</t>
  </si>
  <si>
    <t>Распределительный газопровод в д.   Сомовщина Нолинского района Кировской области</t>
  </si>
  <si>
    <t>Распределительный газопровод в д. Городище Немского района Кировской области</t>
  </si>
  <si>
    <t>Распределительный газопровод в  д. Слудка Немского района  Кировской области</t>
  </si>
  <si>
    <t>Распределительный газопровод в с. Ильинское Немского района Кировской области</t>
  </si>
  <si>
    <t>Распределительный газопровод в д. Варнаки Нолинского района Кировской области</t>
  </si>
  <si>
    <t>Распределительный газопровод в с. Ботыли Нолинского района Кировской области</t>
  </si>
  <si>
    <t>Распределительный газопровод в д. Барановщина Немского района Кировской области</t>
  </si>
  <si>
    <t>Распределительный газопровод в с. Соколово Немского района Кировской области</t>
  </si>
  <si>
    <t>Распределительный газопровод в д. Хмелевка Нолинского района Кировской области</t>
  </si>
  <si>
    <t>Распределительный газопровод в п. Белореченск Омутнинского района  Кировской области</t>
  </si>
  <si>
    <t>Распределительный газопровод в д. Тюм-Тюм Уржумского района  Кировской области</t>
  </si>
  <si>
    <t>Распределительный газопровод в д. Жабриевская Сунского района Кировской области</t>
  </si>
  <si>
    <t>Распределительный газопровод в д. Гари Сунского района Кировской области</t>
  </si>
  <si>
    <t>Газопровод распределительный в пгт Арбаж Арбажского муниципального округа Кировской области</t>
  </si>
  <si>
    <t>Газопровод распределительный в пгт Кикнур Кикнурского муниципального округа Кировской области</t>
  </si>
  <si>
    <t>Газопровод распределительный в пгт Пижанка Пижанского муниципального округа Кировской области</t>
  </si>
  <si>
    <t>Газопровод распределительный в г. Советск Советского муниципального района Кировской области</t>
  </si>
  <si>
    <t>Газопровод распределительный в пгт Тужа Тужинского муниципального района Кировской области</t>
  </si>
  <si>
    <t>Газопровод распределительный в г. Яранск Яранского муниципального района Кировской области</t>
  </si>
  <si>
    <t>Газопровод распределительный в пгт Кильмезь Кильмезского муниципального района Кировской области</t>
  </si>
  <si>
    <t>Газопровод распределительный в пгт Санчурск Санчурского муниципального округа Кировской области</t>
  </si>
  <si>
    <t>Распределительный газопровод в пгт Нижнеивкино до пгт Нижнеивкино Куменского района Кировской области</t>
  </si>
  <si>
    <t>Распределительный газопровод в с. Адышево Орического района Кировской области</t>
  </si>
  <si>
    <t>Распределительный газопровод в д. Кучелапы Орического района Кировской области</t>
  </si>
  <si>
    <t>Распределительный газопровод в п. Быстрицкий тубсанаторий Кирово-Чепецкого района Кировской области</t>
  </si>
  <si>
    <t>Распределительный газзопровод в с. Илгань Верхошижемского района Кировской области</t>
  </si>
  <si>
    <t>Распределительный газопровод в пгт Верхошижемье Верхошижемского района Кировского района</t>
  </si>
  <si>
    <t>Распределительный газопровод в д. Пунгино Верхошижемского района Кировской области</t>
  </si>
  <si>
    <t>Распределительный газопровод в д. Угор Верхошижемского района Кировской области</t>
  </si>
  <si>
    <t>Распределительный газопровод в с. Среднеивкино Верхошижемского района Кировской области</t>
  </si>
  <si>
    <t>Распределительный газопровод в д. Сырда Верхошижемского района Кировской области</t>
  </si>
  <si>
    <t>Распределительный газопровод в д. Барановщина Куменского района Кировской области</t>
  </si>
  <si>
    <t>Распределительный газопровод в с. Раменье Куменского района Кировской области</t>
  </si>
  <si>
    <t>Газопровод распределительный в дер. Рублево Кирово-Чепецкого муниципального района Кировской области</t>
  </si>
  <si>
    <t>2.5</t>
  </si>
  <si>
    <t>капитальные вложения</t>
  </si>
  <si>
    <t>текущие затраты</t>
  </si>
  <si>
    <t>-</t>
  </si>
  <si>
    <t>Газопровод межпоселковый от ГРС-2 (ТЭЦ-5) до мкр. Новый – мкр. Чистые пруды Ленинского района г. Киров*****</t>
  </si>
  <si>
    <t>*</t>
  </si>
  <si>
    <t>А.Ю. Чиликин</t>
  </si>
  <si>
    <t>Генеральный директор
 АО "Газпром газораспределение Киров"</t>
  </si>
  <si>
    <t>иные средства -кап вложения</t>
  </si>
  <si>
    <t>иные средства -текущие затраты</t>
  </si>
  <si>
    <t>Строительно- монтажные работы выполнены в рамках догаза на сумму 25,79986</t>
  </si>
  <si>
    <t>"2. План мероприятий Программы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</si>
</sst>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[$-419]mmmm\ yyyy;@"/>
    <numFmt numFmtId="165" formatCode="_(&quot;$&quot;* #,##0.00_);_(&quot;$&quot;* \(#,##0.00\);_(&quot;$&quot;* &quot;-&quot;??_);_(@_)"/>
    <numFmt numFmtId="166" formatCode="#,##0.000"/>
    <numFmt numFmtId="167" formatCode="0.000"/>
    <numFmt numFmtId="168" formatCode="0.0000000"/>
    <numFmt numFmtId="169" formatCode="0.00000000"/>
    <numFmt numFmtId="170" formatCode="0.000000000"/>
    <numFmt numFmtId="171" formatCode="0.00000"/>
    <numFmt numFmtId="172" formatCode="#,##0.00\ _₽"/>
  </numFmts>
  <fonts count="54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</font>
    <font>
      <sz val="12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u/>
      <sz val="10"/>
      <color theme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55">
    <xf numFmtId="0" fontId="0" fillId="0" borderId="0"/>
    <xf numFmtId="0" fontId="29" fillId="0" borderId="0"/>
    <xf numFmtId="0" fontId="29" fillId="0" borderId="0"/>
    <xf numFmtId="0" fontId="24" fillId="0" borderId="0"/>
    <xf numFmtId="0" fontId="26" fillId="2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34" borderId="0" applyNumberFormat="0" applyBorder="0" applyAlignment="0" applyProtection="0"/>
    <xf numFmtId="0" fontId="16" fillId="4" borderId="0" applyNumberFormat="0" applyBorder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13" fillId="36" borderId="2" applyNumberFormat="0" applyAlignment="0" applyProtection="0"/>
    <xf numFmtId="0" fontId="27" fillId="0" borderId="0"/>
    <xf numFmtId="0" fontId="27" fillId="0" borderId="0"/>
    <xf numFmtId="164" fontId="27" fillId="0" borderId="0"/>
    <xf numFmtId="0" fontId="17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21" fillId="0" borderId="0">
      <alignment horizontal="left" vertical="center"/>
    </xf>
    <xf numFmtId="0" fontId="18" fillId="0" borderId="6" applyNumberFormat="0" applyFill="0" applyAlignment="0" applyProtection="0"/>
    <xf numFmtId="0" fontId="15" fillId="37" borderId="0" applyNumberFormat="0" applyBorder="0" applyAlignment="0" applyProtection="0"/>
    <xf numFmtId="0" fontId="26" fillId="0" borderId="7"/>
    <xf numFmtId="0" fontId="26" fillId="0" borderId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4" fillId="38" borderId="8" applyNumberFormat="0" applyFon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left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30" fillId="0" borderId="10">
      <alignment horizontal="center" vertical="center"/>
    </xf>
    <xf numFmtId="0" fontId="22" fillId="15" borderId="0">
      <alignment horizontal="left" vertical="center"/>
    </xf>
    <xf numFmtId="0" fontId="23" fillId="38" borderId="0">
      <alignment horizontal="left" vertical="center"/>
    </xf>
    <xf numFmtId="0" fontId="28" fillId="0" borderId="8" applyNumberFormat="0" applyFill="0" applyBorder="0" applyProtection="0">
      <alignment horizontal="center"/>
    </xf>
    <xf numFmtId="0" fontId="28" fillId="0" borderId="8" applyNumberFormat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5" fillId="31" borderId="0" applyNumberFormat="0" applyBorder="0" applyAlignment="0" applyProtection="0"/>
    <xf numFmtId="0" fontId="34" fillId="2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2" borderId="0" applyNumberFormat="0" applyBorder="0" applyAlignment="0" applyProtection="0"/>
    <xf numFmtId="0" fontId="34" fillId="32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33" borderId="0" applyNumberFormat="0" applyBorder="0" applyAlignment="0" applyProtection="0"/>
    <xf numFmtId="0" fontId="34" fillId="33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4" borderId="0" applyNumberFormat="0" applyBorder="0" applyAlignment="0" applyProtection="0"/>
    <xf numFmtId="0" fontId="34" fillId="42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34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4" borderId="0" applyNumberFormat="0" applyBorder="0" applyAlignment="0" applyProtection="0"/>
    <xf numFmtId="0" fontId="34" fillId="34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8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35" borderId="9" applyNumberFormat="0" applyAlignment="0" applyProtection="0"/>
    <xf numFmtId="0" fontId="7" fillId="44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7" fillId="45" borderId="9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35" borderId="1" applyNumberFormat="0" applyAlignment="0" applyProtection="0"/>
    <xf numFmtId="0" fontId="8" fillId="44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8" fillId="45" borderId="1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5" fillId="0" borderId="1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6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37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5" applyNumberFormat="0" applyFill="0" applyAlignment="0" applyProtection="0"/>
    <xf numFmtId="0" fontId="31" fillId="0" borderId="0">
      <alignment horizontal="right" vertical="top" wrapText="1"/>
    </xf>
    <xf numFmtId="0" fontId="13" fillId="36" borderId="2" applyNumberFormat="0" applyAlignment="0" applyProtection="0"/>
    <xf numFmtId="0" fontId="38" fillId="3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13" fillId="46" borderId="2" applyNumberFormat="0" applyAlignment="0" applyProtection="0"/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31" fillId="0" borderId="12">
      <alignment horizont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41" fillId="0" borderId="0"/>
    <xf numFmtId="0" fontId="25" fillId="0" borderId="0"/>
    <xf numFmtId="0" fontId="2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2" fillId="0" borderId="0"/>
    <xf numFmtId="0" fontId="41" fillId="0" borderId="0"/>
    <xf numFmtId="0" fontId="25" fillId="0" borderId="0"/>
    <xf numFmtId="0" fontId="2" fillId="0" borderId="0"/>
    <xf numFmtId="0" fontId="25" fillId="0" borderId="0" applyNumberFormat="0" applyFont="0" applyFill="0" applyBorder="0" applyAlignment="0" applyProtection="0">
      <alignment vertical="top"/>
    </xf>
    <xf numFmtId="0" fontId="43" fillId="0" borderId="0"/>
    <xf numFmtId="0" fontId="41" fillId="0" borderId="0"/>
    <xf numFmtId="0" fontId="27" fillId="0" borderId="0"/>
    <xf numFmtId="0" fontId="25" fillId="0" borderId="0"/>
    <xf numFmtId="0" fontId="41" fillId="0" borderId="0"/>
    <xf numFmtId="0" fontId="3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64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64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164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5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2" fillId="0" borderId="0"/>
    <xf numFmtId="0" fontId="4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2" fillId="0" borderId="0">
      <alignment horizontal="left"/>
    </xf>
    <xf numFmtId="0" fontId="41" fillId="0" borderId="0"/>
    <xf numFmtId="0" fontId="25" fillId="0" borderId="0"/>
    <xf numFmtId="0" fontId="41" fillId="0" borderId="0"/>
    <xf numFmtId="0" fontId="41" fillId="0" borderId="0"/>
    <xf numFmtId="0" fontId="25" fillId="0" borderId="0"/>
    <xf numFmtId="0" fontId="45" fillId="0" borderId="0"/>
    <xf numFmtId="0" fontId="43" fillId="0" borderId="0"/>
    <xf numFmtId="0" fontId="33" fillId="0" borderId="0"/>
    <xf numFmtId="0" fontId="41" fillId="0" borderId="0"/>
    <xf numFmtId="0" fontId="2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41" fillId="0" borderId="0"/>
    <xf numFmtId="0" fontId="41" fillId="0" borderId="0"/>
    <xf numFmtId="0" fontId="25" fillId="0" borderId="0"/>
    <xf numFmtId="0" fontId="25" fillId="0" borderId="0"/>
    <xf numFmtId="0" fontId="2" fillId="0" borderId="0"/>
    <xf numFmtId="0" fontId="41" fillId="0" borderId="0"/>
    <xf numFmtId="0" fontId="43" fillId="0" borderId="0"/>
    <xf numFmtId="0" fontId="2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5" fillId="0" borderId="0"/>
    <xf numFmtId="0" fontId="41" fillId="0" borderId="0"/>
    <xf numFmtId="0" fontId="43" fillId="0" borderId="0"/>
    <xf numFmtId="0" fontId="25" fillId="0" borderId="0"/>
    <xf numFmtId="0" fontId="25" fillId="0" borderId="0"/>
    <xf numFmtId="0" fontId="41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5" fillId="3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47" fillId="0" borderId="12" xfId="0" applyFont="1" applyBorder="1" applyAlignment="1">
      <alignment horizontal="center" vertical="top" wrapText="1"/>
    </xf>
    <xf numFmtId="0" fontId="47" fillId="48" borderId="12" xfId="0" applyFont="1" applyFill="1" applyBorder="1" applyAlignment="1">
      <alignment horizontal="center" vertical="top" wrapText="1"/>
    </xf>
    <xf numFmtId="0" fontId="48" fillId="49" borderId="12" xfId="0" applyFont="1" applyFill="1" applyBorder="1" applyAlignment="1">
      <alignment horizontal="center" vertical="top" wrapText="1"/>
    </xf>
    <xf numFmtId="0" fontId="47" fillId="5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left" vertical="top" wrapText="1"/>
    </xf>
    <xf numFmtId="16" fontId="47" fillId="50" borderId="12" xfId="0" applyNumberFormat="1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horizontal="center" vertical="top" wrapText="1"/>
    </xf>
    <xf numFmtId="0" fontId="50" fillId="0" borderId="0" xfId="0" applyFont="1" applyAlignment="1">
      <alignment horizontal="center" wrapText="1"/>
    </xf>
    <xf numFmtId="0" fontId="49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166" fontId="47" fillId="0" borderId="12" xfId="0" applyNumberFormat="1" applyFont="1" applyBorder="1" applyAlignment="1">
      <alignment horizontal="center" vertical="top" wrapText="1"/>
    </xf>
    <xf numFmtId="167" fontId="47" fillId="0" borderId="12" xfId="0" applyNumberFormat="1" applyFont="1" applyBorder="1" applyAlignment="1">
      <alignment horizontal="center" vertical="top" wrapText="1"/>
    </xf>
    <xf numFmtId="0" fontId="47" fillId="0" borderId="12" xfId="0" applyFont="1" applyFill="1" applyBorder="1" applyAlignment="1">
      <alignment horizontal="left" vertical="top" wrapText="1"/>
    </xf>
    <xf numFmtId="0" fontId="47" fillId="0" borderId="12" xfId="0" applyFont="1" applyFill="1" applyBorder="1" applyAlignment="1">
      <alignment horizontal="center" vertical="top" wrapText="1"/>
    </xf>
    <xf numFmtId="0" fontId="48" fillId="49" borderId="12" xfId="0" applyFont="1" applyFill="1" applyBorder="1" applyAlignment="1">
      <alignment horizontal="center" vertical="top" wrapText="1"/>
    </xf>
    <xf numFmtId="169" fontId="47" fillId="0" borderId="12" xfId="0" applyNumberFormat="1" applyFont="1" applyFill="1" applyBorder="1" applyAlignment="1">
      <alignment horizontal="center" vertical="top" wrapText="1"/>
    </xf>
    <xf numFmtId="168" fontId="47" fillId="0" borderId="12" xfId="0" applyNumberFormat="1" applyFont="1" applyFill="1" applyBorder="1" applyAlignment="1">
      <alignment horizontal="center" vertical="top" wrapText="1"/>
    </xf>
    <xf numFmtId="0" fontId="0" fillId="0" borderId="0" xfId="0" applyFill="1"/>
    <xf numFmtId="167" fontId="47" fillId="0" borderId="12" xfId="0" applyNumberFormat="1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168" fontId="0" fillId="0" borderId="0" xfId="0" applyNumberFormat="1"/>
    <xf numFmtId="170" fontId="47" fillId="0" borderId="12" xfId="0" applyNumberFormat="1" applyFont="1" applyFill="1" applyBorder="1" applyAlignment="1">
      <alignment horizontal="center" vertical="top" wrapText="1"/>
    </xf>
    <xf numFmtId="171" fontId="47" fillId="0" borderId="12" xfId="0" applyNumberFormat="1" applyFont="1" applyFill="1" applyBorder="1" applyAlignment="1">
      <alignment horizontal="center" vertical="top" wrapText="1"/>
    </xf>
    <xf numFmtId="0" fontId="0" fillId="0" borderId="0" xfId="0"/>
    <xf numFmtId="0" fontId="47" fillId="0" borderId="12" xfId="0" applyFont="1" applyBorder="1" applyAlignment="1">
      <alignment horizontal="center" vertical="top" wrapText="1"/>
    </xf>
    <xf numFmtId="0" fontId="47" fillId="48" borderId="12" xfId="0" applyFont="1" applyFill="1" applyBorder="1" applyAlignment="1">
      <alignment horizontal="center" vertical="top" wrapText="1"/>
    </xf>
    <xf numFmtId="172" fontId="0" fillId="0" borderId="0" xfId="0" applyNumberFormat="1"/>
    <xf numFmtId="43" fontId="47" fillId="0" borderId="12" xfId="0" applyNumberFormat="1" applyFont="1" applyBorder="1" applyAlignment="1">
      <alignment horizontal="center" vertical="top" wrapText="1"/>
    </xf>
    <xf numFmtId="0" fontId="0" fillId="0" borderId="0" xfId="0" applyFont="1" applyFill="1"/>
    <xf numFmtId="0" fontId="0" fillId="48" borderId="12" xfId="0" applyFont="1" applyFill="1" applyBorder="1"/>
    <xf numFmtId="0" fontId="47" fillId="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0" fillId="0" borderId="0" xfId="0" applyFont="1"/>
    <xf numFmtId="0" fontId="47" fillId="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48" borderId="12" xfId="0" applyFont="1" applyFill="1" applyBorder="1" applyAlignment="1">
      <alignment horizontal="center" vertical="top" wrapText="1"/>
    </xf>
    <xf numFmtId="0" fontId="0" fillId="0" borderId="0" xfId="0"/>
    <xf numFmtId="166" fontId="47" fillId="0" borderId="12" xfId="0" applyNumberFormat="1" applyFont="1" applyFill="1" applyBorder="1" applyAlignment="1">
      <alignment horizontal="center" vertical="top" wrapText="1"/>
    </xf>
    <xf numFmtId="0" fontId="47" fillId="52" borderId="12" xfId="0" applyFont="1" applyFill="1" applyBorder="1" applyAlignment="1">
      <alignment horizontal="center" vertical="top" wrapText="1"/>
    </xf>
    <xf numFmtId="166" fontId="47" fillId="52" borderId="12" xfId="0" applyNumberFormat="1" applyFont="1" applyFill="1" applyBorder="1" applyAlignment="1">
      <alignment horizontal="center" vertical="top" wrapText="1"/>
    </xf>
    <xf numFmtId="0" fontId="48" fillId="0" borderId="12" xfId="0" applyFont="1" applyFill="1" applyBorder="1" applyAlignment="1">
      <alignment horizontal="center" vertical="top" wrapText="1"/>
    </xf>
    <xf numFmtId="0" fontId="48" fillId="0" borderId="12" xfId="0" applyFont="1" applyBorder="1" applyAlignment="1">
      <alignment horizontal="center" vertical="top" wrapText="1"/>
    </xf>
    <xf numFmtId="0" fontId="48" fillId="48" borderId="12" xfId="0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left" vertical="top" wrapText="1"/>
    </xf>
    <xf numFmtId="167" fontId="47" fillId="0" borderId="12" xfId="0" applyNumberFormat="1" applyFont="1" applyBorder="1" applyAlignment="1">
      <alignment horizontal="center" vertical="top" wrapText="1"/>
    </xf>
    <xf numFmtId="166" fontId="47" fillId="0" borderId="12" xfId="0" applyNumberFormat="1" applyFont="1" applyBorder="1" applyAlignment="1">
      <alignment horizontal="center" vertical="top" wrapText="1"/>
    </xf>
    <xf numFmtId="0" fontId="47" fillId="48" borderId="12" xfId="0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horizontal="center" vertical="top" wrapText="1"/>
    </xf>
    <xf numFmtId="0" fontId="51" fillId="0" borderId="0" xfId="0" applyFont="1" applyAlignment="1">
      <alignment horizontal="left" wrapText="1"/>
    </xf>
    <xf numFmtId="0" fontId="47" fillId="0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48" borderId="12" xfId="0" applyFont="1" applyFill="1" applyBorder="1" applyAlignment="1">
      <alignment horizontal="center" vertical="top" wrapText="1"/>
    </xf>
    <xf numFmtId="166" fontId="47" fillId="0" borderId="12" xfId="0" applyNumberFormat="1" applyFont="1" applyBorder="1" applyAlignment="1">
      <alignment horizontal="center" vertical="top" wrapText="1"/>
    </xf>
    <xf numFmtId="0" fontId="47" fillId="51" borderId="12" xfId="0" applyFont="1" applyFill="1" applyBorder="1" applyAlignment="1">
      <alignment horizontal="center" vertical="top" wrapText="1"/>
    </xf>
    <xf numFmtId="0" fontId="0" fillId="0" borderId="0" xfId="0"/>
    <xf numFmtId="0" fontId="47" fillId="48" borderId="12" xfId="0" applyFont="1" applyFill="1" applyBorder="1" applyAlignment="1">
      <alignment horizontal="left" vertical="top" wrapText="1"/>
    </xf>
    <xf numFmtId="0" fontId="47" fillId="0" borderId="12" xfId="0" applyFont="1" applyFill="1" applyBorder="1" applyAlignment="1">
      <alignment horizontal="left" vertical="top" wrapText="1"/>
    </xf>
    <xf numFmtId="167" fontId="47" fillId="0" borderId="12" xfId="0" applyNumberFormat="1" applyFont="1" applyBorder="1" applyAlignment="1">
      <alignment horizontal="center" vertical="top" wrapText="1"/>
    </xf>
    <xf numFmtId="0" fontId="47" fillId="50" borderId="12" xfId="0" applyFont="1" applyFill="1" applyBorder="1" applyAlignment="1">
      <alignment horizontal="left" vertical="top" wrapText="1"/>
    </xf>
    <xf numFmtId="166" fontId="47" fillId="48" borderId="12" xfId="0" applyNumberFormat="1" applyFont="1" applyFill="1" applyBorder="1" applyAlignment="1">
      <alignment horizontal="center" vertical="top" wrapText="1"/>
    </xf>
    <xf numFmtId="167" fontId="47" fillId="48" borderId="12" xfId="0" applyNumberFormat="1" applyFont="1" applyFill="1" applyBorder="1" applyAlignment="1">
      <alignment horizontal="center" vertical="top" wrapText="1"/>
    </xf>
    <xf numFmtId="0" fontId="47" fillId="53" borderId="12" xfId="0" applyFont="1" applyFill="1" applyBorder="1" applyAlignment="1">
      <alignment horizontal="center" vertical="top" wrapText="1"/>
    </xf>
    <xf numFmtId="0" fontId="3" fillId="0" borderId="0" xfId="0" applyFont="1"/>
    <xf numFmtId="0" fontId="40" fillId="0" borderId="0" xfId="0" applyFont="1"/>
    <xf numFmtId="0" fontId="48" fillId="49" borderId="12" xfId="0" applyFont="1" applyFill="1" applyBorder="1" applyAlignment="1">
      <alignment horizontal="center" vertical="top" wrapText="1"/>
    </xf>
    <xf numFmtId="0" fontId="47" fillId="0" borderId="12" xfId="0" applyFont="1" applyBorder="1" applyAlignment="1">
      <alignment horizontal="left" vertical="top" wrapText="1"/>
    </xf>
    <xf numFmtId="0" fontId="47" fillId="48" borderId="16" xfId="0" applyFont="1" applyFill="1" applyBorder="1" applyAlignment="1">
      <alignment horizontal="center" vertical="top" wrapText="1"/>
    </xf>
    <xf numFmtId="0" fontId="47" fillId="48" borderId="17" xfId="0" applyFont="1" applyFill="1" applyBorder="1" applyAlignment="1">
      <alignment horizontal="center" vertical="top" wrapText="1"/>
    </xf>
    <xf numFmtId="0" fontId="47" fillId="48" borderId="18" xfId="0" applyFont="1" applyFill="1" applyBorder="1" applyAlignment="1">
      <alignment horizontal="center" vertical="top" wrapText="1"/>
    </xf>
  </cellXfs>
  <cellStyles count="4755">
    <cellStyle name=" 1" xfId="1"/>
    <cellStyle name=" 1 2" xfId="2"/>
    <cellStyle name=" 1 3" xfId="3"/>
    <cellStyle name="1Normal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10" xfId="11"/>
    <cellStyle name="20% - Акцент1 2" xfId="12"/>
    <cellStyle name="20% - Акцент1 3" xfId="13"/>
    <cellStyle name="20% - Акцент1 4" xfId="14"/>
    <cellStyle name="20% - Акцент1 5" xfId="15"/>
    <cellStyle name="20% - Акцент1 6" xfId="16"/>
    <cellStyle name="20% - Акцент1 7" xfId="17"/>
    <cellStyle name="20% - Акцент1 8" xfId="18"/>
    <cellStyle name="20% - Акцент1 9" xfId="19"/>
    <cellStyle name="20% - Акцент2 10" xfId="20"/>
    <cellStyle name="20% - Акцент2 2" xfId="21"/>
    <cellStyle name="20% - Акцент2 3" xfId="22"/>
    <cellStyle name="20% - Акцент2 4" xfId="23"/>
    <cellStyle name="20% - Акцент2 5" xfId="24"/>
    <cellStyle name="20% - Акцент2 6" xfId="25"/>
    <cellStyle name="20% - Акцент2 7" xfId="26"/>
    <cellStyle name="20% - Акцент2 8" xfId="27"/>
    <cellStyle name="20% - Акцент2 9" xfId="28"/>
    <cellStyle name="20% - Акцент3 10" xfId="29"/>
    <cellStyle name="20% - Акцент3 2" xfId="30"/>
    <cellStyle name="20% - Акцент3 3" xfId="31"/>
    <cellStyle name="20% - Акцент3 4" xfId="32"/>
    <cellStyle name="20% - Акцент3 5" xfId="33"/>
    <cellStyle name="20% - Акцент3 6" xfId="34"/>
    <cellStyle name="20% - Акцент3 7" xfId="35"/>
    <cellStyle name="20% - Акцент3 8" xfId="36"/>
    <cellStyle name="20% - Акцент3 9" xfId="37"/>
    <cellStyle name="20% - Акцент4 10" xfId="38"/>
    <cellStyle name="20% - Акцент4 2" xfId="39"/>
    <cellStyle name="20% - Акцент4 3" xfId="40"/>
    <cellStyle name="20% - Акцент4 4" xfId="41"/>
    <cellStyle name="20% - Акцент4 5" xfId="42"/>
    <cellStyle name="20% - Акцент4 6" xfId="43"/>
    <cellStyle name="20% - Акцент4 7" xfId="44"/>
    <cellStyle name="20% - Акцент4 8" xfId="45"/>
    <cellStyle name="20% - Акцент4 9" xfId="46"/>
    <cellStyle name="20% - Акцент5 10" xfId="47"/>
    <cellStyle name="20% - Акцент5 2" xfId="48"/>
    <cellStyle name="20% - Акцент5 3" xfId="49"/>
    <cellStyle name="20% - Акцент5 4" xfId="50"/>
    <cellStyle name="20% - Акцент5 5" xfId="51"/>
    <cellStyle name="20% - Акцент5 6" xfId="52"/>
    <cellStyle name="20% - Акцент5 7" xfId="53"/>
    <cellStyle name="20% - Акцент5 8" xfId="54"/>
    <cellStyle name="20% - Акцент5 9" xfId="55"/>
    <cellStyle name="20% - Акцент6 10" xfId="56"/>
    <cellStyle name="20% - Акцент6 2" xfId="57"/>
    <cellStyle name="20% - Акцент6 3" xfId="58"/>
    <cellStyle name="20% - Акцент6 4" xfId="59"/>
    <cellStyle name="20% - Акцент6 5" xfId="60"/>
    <cellStyle name="20% - Акцент6 6" xfId="61"/>
    <cellStyle name="20% - Акцент6 7" xfId="62"/>
    <cellStyle name="20% - Акцент6 8" xfId="63"/>
    <cellStyle name="20% - Акцент6 9" xfId="64"/>
    <cellStyle name="40% - Accent1" xfId="65"/>
    <cellStyle name="40% - Accent2" xfId="66"/>
    <cellStyle name="40% - Accent3" xfId="67"/>
    <cellStyle name="40% - Accent4" xfId="68"/>
    <cellStyle name="40% - Accent5" xfId="69"/>
    <cellStyle name="40% - Accent6" xfId="70"/>
    <cellStyle name="40% - Акцент1 10" xfId="71"/>
    <cellStyle name="40% - Акцент1 2" xfId="72"/>
    <cellStyle name="40% - Акцент1 3" xfId="73"/>
    <cellStyle name="40% - Акцент1 4" xfId="74"/>
    <cellStyle name="40% - Акцент1 5" xfId="75"/>
    <cellStyle name="40% - Акцент1 6" xfId="76"/>
    <cellStyle name="40% - Акцент1 7" xfId="77"/>
    <cellStyle name="40% - Акцент1 8" xfId="78"/>
    <cellStyle name="40% - Акцент1 9" xfId="79"/>
    <cellStyle name="40% - Акцент2 10" xfId="80"/>
    <cellStyle name="40% - Акцент2 2" xfId="81"/>
    <cellStyle name="40% - Акцент2 3" xfId="82"/>
    <cellStyle name="40% - Акцент2 4" xfId="83"/>
    <cellStyle name="40% - Акцент2 5" xfId="84"/>
    <cellStyle name="40% - Акцент2 6" xfId="85"/>
    <cellStyle name="40% - Акцент2 7" xfId="86"/>
    <cellStyle name="40% - Акцент2 8" xfId="87"/>
    <cellStyle name="40% - Акцент2 9" xfId="88"/>
    <cellStyle name="40% - Акцент3 10" xfId="89"/>
    <cellStyle name="40% - Акцент3 2" xfId="90"/>
    <cellStyle name="40% - Акцент3 3" xfId="91"/>
    <cellStyle name="40% - Акцент3 4" xfId="92"/>
    <cellStyle name="40% - Акцент3 5" xfId="93"/>
    <cellStyle name="40% - Акцент3 6" xfId="94"/>
    <cellStyle name="40% - Акцент3 7" xfId="95"/>
    <cellStyle name="40% - Акцент3 8" xfId="96"/>
    <cellStyle name="40% - Акцент3 9" xfId="97"/>
    <cellStyle name="40% - Акцент4 10" xfId="98"/>
    <cellStyle name="40% - Акцент4 2" xfId="99"/>
    <cellStyle name="40% - Акцент4 3" xfId="100"/>
    <cellStyle name="40% - Акцент4 4" xfId="101"/>
    <cellStyle name="40% - Акцент4 5" xfId="102"/>
    <cellStyle name="40% - Акцент4 6" xfId="103"/>
    <cellStyle name="40% - Акцент4 7" xfId="104"/>
    <cellStyle name="40% - Акцент4 8" xfId="105"/>
    <cellStyle name="40% - Акцент4 9" xfId="106"/>
    <cellStyle name="40% - Акцент5 10" xfId="107"/>
    <cellStyle name="40% - Акцент5 2" xfId="108"/>
    <cellStyle name="40% - Акцент5 3" xfId="109"/>
    <cellStyle name="40% - Акцент5 4" xfId="110"/>
    <cellStyle name="40% - Акцент5 5" xfId="111"/>
    <cellStyle name="40% - Акцент5 6" xfId="112"/>
    <cellStyle name="40% - Акцент5 7" xfId="113"/>
    <cellStyle name="40% - Акцент5 8" xfId="114"/>
    <cellStyle name="40% - Акцент5 9" xfId="115"/>
    <cellStyle name="40% - Акцент6 10" xfId="116"/>
    <cellStyle name="40% - Акцент6 2" xfId="117"/>
    <cellStyle name="40% - Акцент6 3" xfId="118"/>
    <cellStyle name="40% - Акцент6 4" xfId="119"/>
    <cellStyle name="40% - Акцент6 5" xfId="120"/>
    <cellStyle name="40% - Акцент6 6" xfId="121"/>
    <cellStyle name="40% - Акцент6 7" xfId="122"/>
    <cellStyle name="40% - Акцент6 8" xfId="123"/>
    <cellStyle name="40% - Акцент6 9" xfId="124"/>
    <cellStyle name="60% - Accent1" xfId="125"/>
    <cellStyle name="60% - Accent2" xfId="126"/>
    <cellStyle name="60% - Accent3" xfId="127"/>
    <cellStyle name="60% - Accent4" xfId="128"/>
    <cellStyle name="60% - Accent5" xfId="129"/>
    <cellStyle name="60% - Accent6" xfId="130"/>
    <cellStyle name="60% - Акцент1 10" xfId="131"/>
    <cellStyle name="60% - Акцент1 2" xfId="132"/>
    <cellStyle name="60% - Акцент1 3" xfId="133"/>
    <cellStyle name="60% - Акцент1 4" xfId="134"/>
    <cellStyle name="60% - Акцент1 5" xfId="135"/>
    <cellStyle name="60% - Акцент1 6" xfId="136"/>
    <cellStyle name="60% - Акцент1 7" xfId="137"/>
    <cellStyle name="60% - Акцент1 8" xfId="138"/>
    <cellStyle name="60% - Акцент1 9" xfId="139"/>
    <cellStyle name="60% - Акцент2 10" xfId="140"/>
    <cellStyle name="60% - Акцент2 2" xfId="141"/>
    <cellStyle name="60% - Акцент2 3" xfId="142"/>
    <cellStyle name="60% - Акцент2 4" xfId="143"/>
    <cellStyle name="60% - Акцент2 5" xfId="144"/>
    <cellStyle name="60% - Акцент2 6" xfId="145"/>
    <cellStyle name="60% - Акцент2 7" xfId="146"/>
    <cellStyle name="60% - Акцент2 8" xfId="147"/>
    <cellStyle name="60% - Акцент2 9" xfId="148"/>
    <cellStyle name="60% - Акцент3 10" xfId="149"/>
    <cellStyle name="60% - Акцент3 2" xfId="150"/>
    <cellStyle name="60% - Акцент3 3" xfId="151"/>
    <cellStyle name="60% - Акцент3 4" xfId="152"/>
    <cellStyle name="60% - Акцент3 5" xfId="153"/>
    <cellStyle name="60% - Акцент3 6" xfId="154"/>
    <cellStyle name="60% - Акцент3 7" xfId="155"/>
    <cellStyle name="60% - Акцент3 8" xfId="156"/>
    <cellStyle name="60% - Акцент3 9" xfId="157"/>
    <cellStyle name="60% - Акцент4 10" xfId="158"/>
    <cellStyle name="60% - Акцент4 2" xfId="159"/>
    <cellStyle name="60% - Акцент4 3" xfId="160"/>
    <cellStyle name="60% - Акцент4 4" xfId="161"/>
    <cellStyle name="60% - Акцент4 5" xfId="162"/>
    <cellStyle name="60% - Акцент4 6" xfId="163"/>
    <cellStyle name="60% - Акцент4 7" xfId="164"/>
    <cellStyle name="60% - Акцент4 8" xfId="165"/>
    <cellStyle name="60% - Акцент4 9" xfId="166"/>
    <cellStyle name="60% - Акцент5 10" xfId="167"/>
    <cellStyle name="60% - Акцент5 2" xfId="168"/>
    <cellStyle name="60% - Акцент5 3" xfId="169"/>
    <cellStyle name="60% - Акцент5 4" xfId="170"/>
    <cellStyle name="60% - Акцент5 5" xfId="171"/>
    <cellStyle name="60% - Акцент5 6" xfId="172"/>
    <cellStyle name="60% - Акцент5 7" xfId="173"/>
    <cellStyle name="60% - Акцент5 8" xfId="174"/>
    <cellStyle name="60% - Акцент5 9" xfId="175"/>
    <cellStyle name="60% - Акцент6 10" xfId="176"/>
    <cellStyle name="60% - Акцент6 2" xfId="177"/>
    <cellStyle name="60% - Акцент6 3" xfId="178"/>
    <cellStyle name="60% - Акцент6 4" xfId="179"/>
    <cellStyle name="60% - Акцент6 5" xfId="180"/>
    <cellStyle name="60% - Акцент6 6" xfId="181"/>
    <cellStyle name="60% - Акцент6 7" xfId="182"/>
    <cellStyle name="60% - Акцент6 8" xfId="183"/>
    <cellStyle name="60% - Акцент6 9" xfId="184"/>
    <cellStyle name="Accent1" xfId="185"/>
    <cellStyle name="Accent2" xfId="186"/>
    <cellStyle name="Accent3" xfId="187"/>
    <cellStyle name="Accent4" xfId="188"/>
    <cellStyle name="Accent5" xfId="189"/>
    <cellStyle name="Accent6" xfId="190"/>
    <cellStyle name="Bad" xfId="191"/>
    <cellStyle name="Calculation" xfId="192"/>
    <cellStyle name="Calculation 10" xfId="193"/>
    <cellStyle name="Calculation 11" xfId="194"/>
    <cellStyle name="Calculation 12" xfId="195"/>
    <cellStyle name="Calculation 13" xfId="196"/>
    <cellStyle name="Calculation 14" xfId="197"/>
    <cellStyle name="Calculation 15" xfId="198"/>
    <cellStyle name="Calculation 16" xfId="199"/>
    <cellStyle name="Calculation 17" xfId="200"/>
    <cellStyle name="Calculation 2" xfId="201"/>
    <cellStyle name="Calculation 2 10" xfId="202"/>
    <cellStyle name="Calculation 2 11" xfId="203"/>
    <cellStyle name="Calculation 2 12" xfId="204"/>
    <cellStyle name="Calculation 2 13" xfId="205"/>
    <cellStyle name="Calculation 2 14" xfId="206"/>
    <cellStyle name="Calculation 2 15" xfId="207"/>
    <cellStyle name="Calculation 2 16" xfId="208"/>
    <cellStyle name="Calculation 2 17" xfId="209"/>
    <cellStyle name="Calculation 2 18" xfId="210"/>
    <cellStyle name="Calculation 2 2" xfId="211"/>
    <cellStyle name="Calculation 2 3" xfId="212"/>
    <cellStyle name="Calculation 2 4" xfId="213"/>
    <cellStyle name="Calculation 2 5" xfId="214"/>
    <cellStyle name="Calculation 2 6" xfId="215"/>
    <cellStyle name="Calculation 2 7" xfId="216"/>
    <cellStyle name="Calculation 2 8" xfId="217"/>
    <cellStyle name="Calculation 2 9" xfId="218"/>
    <cellStyle name="Calculation 3" xfId="219"/>
    <cellStyle name="Calculation 4" xfId="220"/>
    <cellStyle name="Calculation 5" xfId="221"/>
    <cellStyle name="Calculation 6" xfId="222"/>
    <cellStyle name="Calculation 7" xfId="223"/>
    <cellStyle name="Calculation 8" xfId="224"/>
    <cellStyle name="Calculation 9" xfId="225"/>
    <cellStyle name="Check Cell" xfId="226"/>
    <cellStyle name="Excel Built-in Normal" xfId="227"/>
    <cellStyle name="Excel Built-in Normal 2" xfId="228"/>
    <cellStyle name="Excel Built-in Normal 3" xfId="229"/>
    <cellStyle name="Explanatory Text" xfId="230"/>
    <cellStyle name="Good" xfId="231"/>
    <cellStyle name="Heading 1" xfId="232"/>
    <cellStyle name="Heading 2" xfId="233"/>
    <cellStyle name="Heading 3" xfId="234"/>
    <cellStyle name="Heading 4" xfId="235"/>
    <cellStyle name="Input" xfId="236"/>
    <cellStyle name="Input 10" xfId="237"/>
    <cellStyle name="Input 11" xfId="238"/>
    <cellStyle name="Input 12" xfId="239"/>
    <cellStyle name="Input 13" xfId="240"/>
    <cellStyle name="Input 14" xfId="241"/>
    <cellStyle name="Input 15" xfId="242"/>
    <cellStyle name="Input 16" xfId="243"/>
    <cellStyle name="Input 17" xfId="244"/>
    <cellStyle name="Input 2" xfId="245"/>
    <cellStyle name="Input 2 10" xfId="246"/>
    <cellStyle name="Input 2 11" xfId="247"/>
    <cellStyle name="Input 2 12" xfId="248"/>
    <cellStyle name="Input 2 13" xfId="249"/>
    <cellStyle name="Input 2 14" xfId="250"/>
    <cellStyle name="Input 2 15" xfId="251"/>
    <cellStyle name="Input 2 16" xfId="252"/>
    <cellStyle name="Input 2 17" xfId="253"/>
    <cellStyle name="Input 2 18" xfId="254"/>
    <cellStyle name="Input 2 2" xfId="255"/>
    <cellStyle name="Input 2 3" xfId="256"/>
    <cellStyle name="Input 2 4" xfId="257"/>
    <cellStyle name="Input 2 5" xfId="258"/>
    <cellStyle name="Input 2 6" xfId="259"/>
    <cellStyle name="Input 2 7" xfId="260"/>
    <cellStyle name="Input 2 8" xfId="261"/>
    <cellStyle name="Input 2 9" xfId="262"/>
    <cellStyle name="Input 3" xfId="263"/>
    <cellStyle name="Input 4" xfId="264"/>
    <cellStyle name="Input 5" xfId="265"/>
    <cellStyle name="Input 6" xfId="266"/>
    <cellStyle name="Input 7" xfId="267"/>
    <cellStyle name="Input 8" xfId="268"/>
    <cellStyle name="Input 9" xfId="269"/>
    <cellStyle name="ITEM_BLANK_BACKGROUND" xfId="270"/>
    <cellStyle name="Linked Cell" xfId="271"/>
    <cellStyle name="Neutral" xfId="272"/>
    <cellStyle name="Norma11l" xfId="273"/>
    <cellStyle name="Normal_Bankruptcy indicators" xfId="274"/>
    <cellStyle name="Note" xfId="275"/>
    <cellStyle name="Note 10" xfId="276"/>
    <cellStyle name="Note 11" xfId="277"/>
    <cellStyle name="Note 12" xfId="278"/>
    <cellStyle name="Note 13" xfId="279"/>
    <cellStyle name="Note 14" xfId="280"/>
    <cellStyle name="Note 15" xfId="281"/>
    <cellStyle name="Note 16" xfId="282"/>
    <cellStyle name="Note 17" xfId="283"/>
    <cellStyle name="Note 2" xfId="284"/>
    <cellStyle name="Note 2 10" xfId="285"/>
    <cellStyle name="Note 2 11" xfId="286"/>
    <cellStyle name="Note 2 12" xfId="287"/>
    <cellStyle name="Note 2 13" xfId="288"/>
    <cellStyle name="Note 2 14" xfId="289"/>
    <cellStyle name="Note 2 15" xfId="290"/>
    <cellStyle name="Note 2 16" xfId="291"/>
    <cellStyle name="Note 2 17" xfId="292"/>
    <cellStyle name="Note 2 18" xfId="293"/>
    <cellStyle name="Note 2 2" xfId="294"/>
    <cellStyle name="Note 2 3" xfId="295"/>
    <cellStyle name="Note 2 4" xfId="296"/>
    <cellStyle name="Note 2 5" xfId="297"/>
    <cellStyle name="Note 2 6" xfId="298"/>
    <cellStyle name="Note 2 7" xfId="299"/>
    <cellStyle name="Note 2 8" xfId="300"/>
    <cellStyle name="Note 2 9" xfId="301"/>
    <cellStyle name="Note 3" xfId="302"/>
    <cellStyle name="Note 4" xfId="303"/>
    <cellStyle name="Note 5" xfId="304"/>
    <cellStyle name="Note 6" xfId="305"/>
    <cellStyle name="Note 7" xfId="306"/>
    <cellStyle name="Note 8" xfId="307"/>
    <cellStyle name="Note 9" xfId="308"/>
    <cellStyle name="Output" xfId="309"/>
    <cellStyle name="Output 10" xfId="310"/>
    <cellStyle name="Output 11" xfId="311"/>
    <cellStyle name="Output 12" xfId="312"/>
    <cellStyle name="Output 13" xfId="313"/>
    <cellStyle name="Output 14" xfId="314"/>
    <cellStyle name="Output 15" xfId="315"/>
    <cellStyle name="Output 16" xfId="316"/>
    <cellStyle name="Output 2" xfId="317"/>
    <cellStyle name="Output 2 10" xfId="318"/>
    <cellStyle name="Output 2 11" xfId="319"/>
    <cellStyle name="Output 2 12" xfId="320"/>
    <cellStyle name="Output 2 13" xfId="321"/>
    <cellStyle name="Output 2 14" xfId="322"/>
    <cellStyle name="Output 2 15" xfId="323"/>
    <cellStyle name="Output 2 16" xfId="324"/>
    <cellStyle name="Output 2 17" xfId="325"/>
    <cellStyle name="Output 2 18" xfId="326"/>
    <cellStyle name="Output 2 2" xfId="327"/>
    <cellStyle name="Output 2 3" xfId="328"/>
    <cellStyle name="Output 2 4" xfId="329"/>
    <cellStyle name="Output 2 5" xfId="330"/>
    <cellStyle name="Output 2 6" xfId="331"/>
    <cellStyle name="Output 2 7" xfId="332"/>
    <cellStyle name="Output 2 8" xfId="333"/>
    <cellStyle name="Output 2 9" xfId="334"/>
    <cellStyle name="Output 3" xfId="335"/>
    <cellStyle name="Output 4" xfId="336"/>
    <cellStyle name="Output 5" xfId="337"/>
    <cellStyle name="Output 6" xfId="338"/>
    <cellStyle name="Output 7" xfId="339"/>
    <cellStyle name="Output 8" xfId="340"/>
    <cellStyle name="Output 9" xfId="341"/>
    <cellStyle name="S13" xfId="342"/>
    <cellStyle name="S13 10" xfId="343"/>
    <cellStyle name="S13 10 2" xfId="344"/>
    <cellStyle name="S13 11" xfId="345"/>
    <cellStyle name="S13 11 2" xfId="346"/>
    <cellStyle name="S13 12" xfId="347"/>
    <cellStyle name="S13 12 2" xfId="348"/>
    <cellStyle name="S13 13" xfId="349"/>
    <cellStyle name="S13 13 2" xfId="350"/>
    <cellStyle name="S13 14" xfId="351"/>
    <cellStyle name="S13 14 2" xfId="352"/>
    <cellStyle name="S13 15" xfId="353"/>
    <cellStyle name="S13 15 2" xfId="354"/>
    <cellStyle name="S13 16" xfId="355"/>
    <cellStyle name="S13 16 2" xfId="356"/>
    <cellStyle name="S13 17" xfId="357"/>
    <cellStyle name="S13 17 2" xfId="358"/>
    <cellStyle name="S13 18" xfId="359"/>
    <cellStyle name="S13 18 2" xfId="360"/>
    <cellStyle name="S13 19" xfId="361"/>
    <cellStyle name="S13 19 2" xfId="362"/>
    <cellStyle name="S13 2" xfId="363"/>
    <cellStyle name="S13 2 10" xfId="364"/>
    <cellStyle name="S13 2 10 2" xfId="365"/>
    <cellStyle name="S13 2 11" xfId="366"/>
    <cellStyle name="S13 2 11 2" xfId="367"/>
    <cellStyle name="S13 2 12" xfId="368"/>
    <cellStyle name="S13 2 12 2" xfId="369"/>
    <cellStyle name="S13 2 13" xfId="370"/>
    <cellStyle name="S13 2 13 2" xfId="371"/>
    <cellStyle name="S13 2 14" xfId="372"/>
    <cellStyle name="S13 2 14 2" xfId="373"/>
    <cellStyle name="S13 2 15" xfId="374"/>
    <cellStyle name="S13 2 15 2" xfId="375"/>
    <cellStyle name="S13 2 16" xfId="376"/>
    <cellStyle name="S13 2 16 2" xfId="377"/>
    <cellStyle name="S13 2 17" xfId="378"/>
    <cellStyle name="S13 2 17 2" xfId="379"/>
    <cellStyle name="S13 2 18" xfId="380"/>
    <cellStyle name="S13 2 18 2" xfId="381"/>
    <cellStyle name="S13 2 19" xfId="382"/>
    <cellStyle name="S13 2 2" xfId="383"/>
    <cellStyle name="S13 2 2 2" xfId="384"/>
    <cellStyle name="S13 2 3" xfId="385"/>
    <cellStyle name="S13 2 3 2" xfId="386"/>
    <cellStyle name="S13 2 4" xfId="387"/>
    <cellStyle name="S13 2 4 2" xfId="388"/>
    <cellStyle name="S13 2 5" xfId="389"/>
    <cellStyle name="S13 2 5 2" xfId="390"/>
    <cellStyle name="S13 2 6" xfId="391"/>
    <cellStyle name="S13 2 6 2" xfId="392"/>
    <cellStyle name="S13 2 7" xfId="393"/>
    <cellStyle name="S13 2 7 2" xfId="394"/>
    <cellStyle name="S13 2 8" xfId="395"/>
    <cellStyle name="S13 2 8 2" xfId="396"/>
    <cellStyle name="S13 2 9" xfId="397"/>
    <cellStyle name="S13 2 9 2" xfId="398"/>
    <cellStyle name="S13 20" xfId="399"/>
    <cellStyle name="S13 3" xfId="400"/>
    <cellStyle name="S13 3 10" xfId="401"/>
    <cellStyle name="S13 3 10 2" xfId="402"/>
    <cellStyle name="S13 3 11" xfId="403"/>
    <cellStyle name="S13 3 11 2" xfId="404"/>
    <cellStyle name="S13 3 12" xfId="405"/>
    <cellStyle name="S13 3 12 2" xfId="406"/>
    <cellStyle name="S13 3 13" xfId="407"/>
    <cellStyle name="S13 3 13 2" xfId="408"/>
    <cellStyle name="S13 3 14" xfId="409"/>
    <cellStyle name="S13 3 14 2" xfId="410"/>
    <cellStyle name="S13 3 15" xfId="411"/>
    <cellStyle name="S13 3 15 2" xfId="412"/>
    <cellStyle name="S13 3 16" xfId="413"/>
    <cellStyle name="S13 3 16 2" xfId="414"/>
    <cellStyle name="S13 3 17" xfId="415"/>
    <cellStyle name="S13 3 17 2" xfId="416"/>
    <cellStyle name="S13 3 18" xfId="417"/>
    <cellStyle name="S13 3 18 2" xfId="418"/>
    <cellStyle name="S13 3 19" xfId="419"/>
    <cellStyle name="S13 3 2" xfId="420"/>
    <cellStyle name="S13 3 2 2" xfId="421"/>
    <cellStyle name="S13 3 3" xfId="422"/>
    <cellStyle name="S13 3 3 2" xfId="423"/>
    <cellStyle name="S13 3 4" xfId="424"/>
    <cellStyle name="S13 3 4 2" xfId="425"/>
    <cellStyle name="S13 3 5" xfId="426"/>
    <cellStyle name="S13 3 5 2" xfId="427"/>
    <cellStyle name="S13 3 6" xfId="428"/>
    <cellStyle name="S13 3 6 2" xfId="429"/>
    <cellStyle name="S13 3 7" xfId="430"/>
    <cellStyle name="S13 3 7 2" xfId="431"/>
    <cellStyle name="S13 3 8" xfId="432"/>
    <cellStyle name="S13 3 8 2" xfId="433"/>
    <cellStyle name="S13 3 9" xfId="434"/>
    <cellStyle name="S13 3 9 2" xfId="435"/>
    <cellStyle name="S13 4" xfId="436"/>
    <cellStyle name="S13 4 10" xfId="437"/>
    <cellStyle name="S13 4 10 2" xfId="438"/>
    <cellStyle name="S13 4 11" xfId="439"/>
    <cellStyle name="S13 4 11 2" xfId="440"/>
    <cellStyle name="S13 4 12" xfId="441"/>
    <cellStyle name="S13 4 12 2" xfId="442"/>
    <cellStyle name="S13 4 13" xfId="443"/>
    <cellStyle name="S13 4 13 2" xfId="444"/>
    <cellStyle name="S13 4 14" xfId="445"/>
    <cellStyle name="S13 4 14 2" xfId="446"/>
    <cellStyle name="S13 4 15" xfId="447"/>
    <cellStyle name="S13 4 15 2" xfId="448"/>
    <cellStyle name="S13 4 16" xfId="449"/>
    <cellStyle name="S13 4 16 2" xfId="450"/>
    <cellStyle name="S13 4 17" xfId="451"/>
    <cellStyle name="S13 4 17 2" xfId="452"/>
    <cellStyle name="S13 4 18" xfId="453"/>
    <cellStyle name="S13 4 18 2" xfId="454"/>
    <cellStyle name="S13 4 19" xfId="455"/>
    <cellStyle name="S13 4 2" xfId="456"/>
    <cellStyle name="S13 4 2 2" xfId="457"/>
    <cellStyle name="S13 4 3" xfId="458"/>
    <cellStyle name="S13 4 3 2" xfId="459"/>
    <cellStyle name="S13 4 4" xfId="460"/>
    <cellStyle name="S13 4 4 2" xfId="461"/>
    <cellStyle name="S13 4 5" xfId="462"/>
    <cellStyle name="S13 4 5 2" xfId="463"/>
    <cellStyle name="S13 4 6" xfId="464"/>
    <cellStyle name="S13 4 6 2" xfId="465"/>
    <cellStyle name="S13 4 7" xfId="466"/>
    <cellStyle name="S13 4 7 2" xfId="467"/>
    <cellStyle name="S13 4 8" xfId="468"/>
    <cellStyle name="S13 4 8 2" xfId="469"/>
    <cellStyle name="S13 4 9" xfId="470"/>
    <cellStyle name="S13 4 9 2" xfId="471"/>
    <cellStyle name="S13 5" xfId="472"/>
    <cellStyle name="S13 5 2" xfId="473"/>
    <cellStyle name="S13 6" xfId="474"/>
    <cellStyle name="S13 6 2" xfId="475"/>
    <cellStyle name="S13 7" xfId="476"/>
    <cellStyle name="S13 7 2" xfId="477"/>
    <cellStyle name="S13 8" xfId="478"/>
    <cellStyle name="S13 8 2" xfId="479"/>
    <cellStyle name="S13 9" xfId="480"/>
    <cellStyle name="S13 9 2" xfId="481"/>
    <cellStyle name="S14" xfId="482"/>
    <cellStyle name="S14 10" xfId="483"/>
    <cellStyle name="S14 10 2" xfId="484"/>
    <cellStyle name="S14 11" xfId="485"/>
    <cellStyle name="S14 11 2" xfId="486"/>
    <cellStyle name="S14 12" xfId="487"/>
    <cellStyle name="S14 12 2" xfId="488"/>
    <cellStyle name="S14 13" xfId="489"/>
    <cellStyle name="S14 13 2" xfId="490"/>
    <cellStyle name="S14 14" xfId="491"/>
    <cellStyle name="S14 14 2" xfId="492"/>
    <cellStyle name="S14 15" xfId="493"/>
    <cellStyle name="S14 15 2" xfId="494"/>
    <cellStyle name="S14 16" xfId="495"/>
    <cellStyle name="S14 16 2" xfId="496"/>
    <cellStyle name="S14 17" xfId="497"/>
    <cellStyle name="S14 17 2" xfId="498"/>
    <cellStyle name="S14 18" xfId="499"/>
    <cellStyle name="S14 18 2" xfId="500"/>
    <cellStyle name="S14 19" xfId="501"/>
    <cellStyle name="S14 19 2" xfId="502"/>
    <cellStyle name="S14 2" xfId="503"/>
    <cellStyle name="S14 2 10" xfId="504"/>
    <cellStyle name="S14 2 10 2" xfId="505"/>
    <cellStyle name="S14 2 11" xfId="506"/>
    <cellStyle name="S14 2 11 2" xfId="507"/>
    <cellStyle name="S14 2 12" xfId="508"/>
    <cellStyle name="S14 2 12 2" xfId="509"/>
    <cellStyle name="S14 2 13" xfId="510"/>
    <cellStyle name="S14 2 13 2" xfId="511"/>
    <cellStyle name="S14 2 14" xfId="512"/>
    <cellStyle name="S14 2 14 2" xfId="513"/>
    <cellStyle name="S14 2 15" xfId="514"/>
    <cellStyle name="S14 2 15 2" xfId="515"/>
    <cellStyle name="S14 2 16" xfId="516"/>
    <cellStyle name="S14 2 16 2" xfId="517"/>
    <cellStyle name="S14 2 17" xfId="518"/>
    <cellStyle name="S14 2 17 2" xfId="519"/>
    <cellStyle name="S14 2 18" xfId="520"/>
    <cellStyle name="S14 2 18 2" xfId="521"/>
    <cellStyle name="S14 2 19" xfId="522"/>
    <cellStyle name="S14 2 2" xfId="523"/>
    <cellStyle name="S14 2 2 2" xfId="524"/>
    <cellStyle name="S14 2 3" xfId="525"/>
    <cellStyle name="S14 2 3 2" xfId="526"/>
    <cellStyle name="S14 2 4" xfId="527"/>
    <cellStyle name="S14 2 4 2" xfId="528"/>
    <cellStyle name="S14 2 5" xfId="529"/>
    <cellStyle name="S14 2 5 2" xfId="530"/>
    <cellStyle name="S14 2 6" xfId="531"/>
    <cellStyle name="S14 2 6 2" xfId="532"/>
    <cellStyle name="S14 2 7" xfId="533"/>
    <cellStyle name="S14 2 7 2" xfId="534"/>
    <cellStyle name="S14 2 8" xfId="535"/>
    <cellStyle name="S14 2 8 2" xfId="536"/>
    <cellStyle name="S14 2 9" xfId="537"/>
    <cellStyle name="S14 2 9 2" xfId="538"/>
    <cellStyle name="S14 20" xfId="539"/>
    <cellStyle name="S14 3" xfId="540"/>
    <cellStyle name="S14 3 10" xfId="541"/>
    <cellStyle name="S14 3 10 2" xfId="542"/>
    <cellStyle name="S14 3 11" xfId="543"/>
    <cellStyle name="S14 3 11 2" xfId="544"/>
    <cellStyle name="S14 3 12" xfId="545"/>
    <cellStyle name="S14 3 12 2" xfId="546"/>
    <cellStyle name="S14 3 13" xfId="547"/>
    <cellStyle name="S14 3 13 2" xfId="548"/>
    <cellStyle name="S14 3 14" xfId="549"/>
    <cellStyle name="S14 3 14 2" xfId="550"/>
    <cellStyle name="S14 3 15" xfId="551"/>
    <cellStyle name="S14 3 15 2" xfId="552"/>
    <cellStyle name="S14 3 16" xfId="553"/>
    <cellStyle name="S14 3 16 2" xfId="554"/>
    <cellStyle name="S14 3 17" xfId="555"/>
    <cellStyle name="S14 3 17 2" xfId="556"/>
    <cellStyle name="S14 3 18" xfId="557"/>
    <cellStyle name="S14 3 18 2" xfId="558"/>
    <cellStyle name="S14 3 19" xfId="559"/>
    <cellStyle name="S14 3 2" xfId="560"/>
    <cellStyle name="S14 3 2 2" xfId="561"/>
    <cellStyle name="S14 3 3" xfId="562"/>
    <cellStyle name="S14 3 3 2" xfId="563"/>
    <cellStyle name="S14 3 4" xfId="564"/>
    <cellStyle name="S14 3 4 2" xfId="565"/>
    <cellStyle name="S14 3 5" xfId="566"/>
    <cellStyle name="S14 3 5 2" xfId="567"/>
    <cellStyle name="S14 3 6" xfId="568"/>
    <cellStyle name="S14 3 6 2" xfId="569"/>
    <cellStyle name="S14 3 7" xfId="570"/>
    <cellStyle name="S14 3 7 2" xfId="571"/>
    <cellStyle name="S14 3 8" xfId="572"/>
    <cellStyle name="S14 3 8 2" xfId="573"/>
    <cellStyle name="S14 3 9" xfId="574"/>
    <cellStyle name="S14 3 9 2" xfId="575"/>
    <cellStyle name="S14 4" xfId="576"/>
    <cellStyle name="S14 4 10" xfId="577"/>
    <cellStyle name="S14 4 10 2" xfId="578"/>
    <cellStyle name="S14 4 11" xfId="579"/>
    <cellStyle name="S14 4 11 2" xfId="580"/>
    <cellStyle name="S14 4 12" xfId="581"/>
    <cellStyle name="S14 4 12 2" xfId="582"/>
    <cellStyle name="S14 4 13" xfId="583"/>
    <cellStyle name="S14 4 13 2" xfId="584"/>
    <cellStyle name="S14 4 14" xfId="585"/>
    <cellStyle name="S14 4 14 2" xfId="586"/>
    <cellStyle name="S14 4 15" xfId="587"/>
    <cellStyle name="S14 4 15 2" xfId="588"/>
    <cellStyle name="S14 4 16" xfId="589"/>
    <cellStyle name="S14 4 16 2" xfId="590"/>
    <cellStyle name="S14 4 17" xfId="591"/>
    <cellStyle name="S14 4 17 2" xfId="592"/>
    <cellStyle name="S14 4 18" xfId="593"/>
    <cellStyle name="S14 4 18 2" xfId="594"/>
    <cellStyle name="S14 4 19" xfId="595"/>
    <cellStyle name="S14 4 2" xfId="596"/>
    <cellStyle name="S14 4 2 2" xfId="597"/>
    <cellStyle name="S14 4 3" xfId="598"/>
    <cellStyle name="S14 4 3 2" xfId="599"/>
    <cellStyle name="S14 4 4" xfId="600"/>
    <cellStyle name="S14 4 4 2" xfId="601"/>
    <cellStyle name="S14 4 5" xfId="602"/>
    <cellStyle name="S14 4 5 2" xfId="603"/>
    <cellStyle name="S14 4 6" xfId="604"/>
    <cellStyle name="S14 4 6 2" xfId="605"/>
    <cellStyle name="S14 4 7" xfId="606"/>
    <cellStyle name="S14 4 7 2" xfId="607"/>
    <cellStyle name="S14 4 8" xfId="608"/>
    <cellStyle name="S14 4 8 2" xfId="609"/>
    <cellStyle name="S14 4 9" xfId="610"/>
    <cellStyle name="S14 4 9 2" xfId="611"/>
    <cellStyle name="S14 5" xfId="612"/>
    <cellStyle name="S14 5 2" xfId="613"/>
    <cellStyle name="S14 6" xfId="614"/>
    <cellStyle name="S14 6 2" xfId="615"/>
    <cellStyle name="S14 7" xfId="616"/>
    <cellStyle name="S14 7 2" xfId="617"/>
    <cellStyle name="S14 8" xfId="618"/>
    <cellStyle name="S14 8 2" xfId="619"/>
    <cellStyle name="S14 9" xfId="620"/>
    <cellStyle name="S14 9 2" xfId="621"/>
    <cellStyle name="S15" xfId="622"/>
    <cellStyle name="S15 10" xfId="623"/>
    <cellStyle name="S15 10 2" xfId="624"/>
    <cellStyle name="S15 11" xfId="625"/>
    <cellStyle name="S15 11 2" xfId="626"/>
    <cellStyle name="S15 12" xfId="627"/>
    <cellStyle name="S15 12 2" xfId="628"/>
    <cellStyle name="S15 13" xfId="629"/>
    <cellStyle name="S15 13 2" xfId="630"/>
    <cellStyle name="S15 14" xfId="631"/>
    <cellStyle name="S15 14 2" xfId="632"/>
    <cellStyle name="S15 15" xfId="633"/>
    <cellStyle name="S15 15 2" xfId="634"/>
    <cellStyle name="S15 16" xfId="635"/>
    <cellStyle name="S15 16 2" xfId="636"/>
    <cellStyle name="S15 17" xfId="637"/>
    <cellStyle name="S15 17 2" xfId="638"/>
    <cellStyle name="S15 18" xfId="639"/>
    <cellStyle name="S15 18 2" xfId="640"/>
    <cellStyle name="S15 19" xfId="641"/>
    <cellStyle name="S15 19 2" xfId="642"/>
    <cellStyle name="S15 2" xfId="643"/>
    <cellStyle name="S15 2 10" xfId="644"/>
    <cellStyle name="S15 2 10 2" xfId="645"/>
    <cellStyle name="S15 2 11" xfId="646"/>
    <cellStyle name="S15 2 11 2" xfId="647"/>
    <cellStyle name="S15 2 12" xfId="648"/>
    <cellStyle name="S15 2 12 2" xfId="649"/>
    <cellStyle name="S15 2 13" xfId="650"/>
    <cellStyle name="S15 2 13 2" xfId="651"/>
    <cellStyle name="S15 2 14" xfId="652"/>
    <cellStyle name="S15 2 14 2" xfId="653"/>
    <cellStyle name="S15 2 15" xfId="654"/>
    <cellStyle name="S15 2 15 2" xfId="655"/>
    <cellStyle name="S15 2 16" xfId="656"/>
    <cellStyle name="S15 2 16 2" xfId="657"/>
    <cellStyle name="S15 2 17" xfId="658"/>
    <cellStyle name="S15 2 17 2" xfId="659"/>
    <cellStyle name="S15 2 18" xfId="660"/>
    <cellStyle name="S15 2 18 2" xfId="661"/>
    <cellStyle name="S15 2 19" xfId="662"/>
    <cellStyle name="S15 2 2" xfId="663"/>
    <cellStyle name="S15 2 2 2" xfId="664"/>
    <cellStyle name="S15 2 3" xfId="665"/>
    <cellStyle name="S15 2 3 2" xfId="666"/>
    <cellStyle name="S15 2 4" xfId="667"/>
    <cellStyle name="S15 2 4 2" xfId="668"/>
    <cellStyle name="S15 2 5" xfId="669"/>
    <cellStyle name="S15 2 5 2" xfId="670"/>
    <cellStyle name="S15 2 6" xfId="671"/>
    <cellStyle name="S15 2 6 2" xfId="672"/>
    <cellStyle name="S15 2 7" xfId="673"/>
    <cellStyle name="S15 2 7 2" xfId="674"/>
    <cellStyle name="S15 2 8" xfId="675"/>
    <cellStyle name="S15 2 8 2" xfId="676"/>
    <cellStyle name="S15 2 9" xfId="677"/>
    <cellStyle name="S15 2 9 2" xfId="678"/>
    <cellStyle name="S15 20" xfId="679"/>
    <cellStyle name="S15 3" xfId="680"/>
    <cellStyle name="S15 3 10" xfId="681"/>
    <cellStyle name="S15 3 10 2" xfId="682"/>
    <cellStyle name="S15 3 11" xfId="683"/>
    <cellStyle name="S15 3 11 2" xfId="684"/>
    <cellStyle name="S15 3 12" xfId="685"/>
    <cellStyle name="S15 3 12 2" xfId="686"/>
    <cellStyle name="S15 3 13" xfId="687"/>
    <cellStyle name="S15 3 13 2" xfId="688"/>
    <cellStyle name="S15 3 14" xfId="689"/>
    <cellStyle name="S15 3 14 2" xfId="690"/>
    <cellStyle name="S15 3 15" xfId="691"/>
    <cellStyle name="S15 3 15 2" xfId="692"/>
    <cellStyle name="S15 3 16" xfId="693"/>
    <cellStyle name="S15 3 16 2" xfId="694"/>
    <cellStyle name="S15 3 17" xfId="695"/>
    <cellStyle name="S15 3 17 2" xfId="696"/>
    <cellStyle name="S15 3 18" xfId="697"/>
    <cellStyle name="S15 3 18 2" xfId="698"/>
    <cellStyle name="S15 3 19" xfId="699"/>
    <cellStyle name="S15 3 2" xfId="700"/>
    <cellStyle name="S15 3 2 2" xfId="701"/>
    <cellStyle name="S15 3 3" xfId="702"/>
    <cellStyle name="S15 3 3 2" xfId="703"/>
    <cellStyle name="S15 3 4" xfId="704"/>
    <cellStyle name="S15 3 4 2" xfId="705"/>
    <cellStyle name="S15 3 5" xfId="706"/>
    <cellStyle name="S15 3 5 2" xfId="707"/>
    <cellStyle name="S15 3 6" xfId="708"/>
    <cellStyle name="S15 3 6 2" xfId="709"/>
    <cellStyle name="S15 3 7" xfId="710"/>
    <cellStyle name="S15 3 7 2" xfId="711"/>
    <cellStyle name="S15 3 8" xfId="712"/>
    <cellStyle name="S15 3 8 2" xfId="713"/>
    <cellStyle name="S15 3 9" xfId="714"/>
    <cellStyle name="S15 3 9 2" xfId="715"/>
    <cellStyle name="S15 4" xfId="716"/>
    <cellStyle name="S15 4 10" xfId="717"/>
    <cellStyle name="S15 4 10 2" xfId="718"/>
    <cellStyle name="S15 4 11" xfId="719"/>
    <cellStyle name="S15 4 11 2" xfId="720"/>
    <cellStyle name="S15 4 12" xfId="721"/>
    <cellStyle name="S15 4 12 2" xfId="722"/>
    <cellStyle name="S15 4 13" xfId="723"/>
    <cellStyle name="S15 4 13 2" xfId="724"/>
    <cellStyle name="S15 4 14" xfId="725"/>
    <cellStyle name="S15 4 14 2" xfId="726"/>
    <cellStyle name="S15 4 15" xfId="727"/>
    <cellStyle name="S15 4 15 2" xfId="728"/>
    <cellStyle name="S15 4 16" xfId="729"/>
    <cellStyle name="S15 4 16 2" xfId="730"/>
    <cellStyle name="S15 4 17" xfId="731"/>
    <cellStyle name="S15 4 17 2" xfId="732"/>
    <cellStyle name="S15 4 18" xfId="733"/>
    <cellStyle name="S15 4 18 2" xfId="734"/>
    <cellStyle name="S15 4 19" xfId="735"/>
    <cellStyle name="S15 4 2" xfId="736"/>
    <cellStyle name="S15 4 2 2" xfId="737"/>
    <cellStyle name="S15 4 3" xfId="738"/>
    <cellStyle name="S15 4 3 2" xfId="739"/>
    <cellStyle name="S15 4 4" xfId="740"/>
    <cellStyle name="S15 4 4 2" xfId="741"/>
    <cellStyle name="S15 4 5" xfId="742"/>
    <cellStyle name="S15 4 5 2" xfId="743"/>
    <cellStyle name="S15 4 6" xfId="744"/>
    <cellStyle name="S15 4 6 2" xfId="745"/>
    <cellStyle name="S15 4 7" xfId="746"/>
    <cellStyle name="S15 4 7 2" xfId="747"/>
    <cellStyle name="S15 4 8" xfId="748"/>
    <cellStyle name="S15 4 8 2" xfId="749"/>
    <cellStyle name="S15 4 9" xfId="750"/>
    <cellStyle name="S15 4 9 2" xfId="751"/>
    <cellStyle name="S15 5" xfId="752"/>
    <cellStyle name="S15 5 2" xfId="753"/>
    <cellStyle name="S15 6" xfId="754"/>
    <cellStyle name="S15 6 2" xfId="755"/>
    <cellStyle name="S15 7" xfId="756"/>
    <cellStyle name="S15 7 2" xfId="757"/>
    <cellStyle name="S15 8" xfId="758"/>
    <cellStyle name="S15 8 2" xfId="759"/>
    <cellStyle name="S15 9" xfId="760"/>
    <cellStyle name="S15 9 2" xfId="761"/>
    <cellStyle name="SECTION" xfId="762"/>
    <cellStyle name="SUBSECTION" xfId="763"/>
    <cellStyle name="Tab" xfId="764"/>
    <cellStyle name="Tab 2" xfId="765"/>
    <cellStyle name="Title" xfId="766"/>
    <cellStyle name="Total" xfId="767"/>
    <cellStyle name="Total 10" xfId="768"/>
    <cellStyle name="Total 11" xfId="769"/>
    <cellStyle name="Total 12" xfId="770"/>
    <cellStyle name="Total 13" xfId="771"/>
    <cellStyle name="Total 14" xfId="772"/>
    <cellStyle name="Total 15" xfId="773"/>
    <cellStyle name="Total 16" xfId="774"/>
    <cellStyle name="Total 17" xfId="775"/>
    <cellStyle name="Total 18" xfId="776"/>
    <cellStyle name="Total 2" xfId="777"/>
    <cellStyle name="Total 2 10" xfId="778"/>
    <cellStyle name="Total 2 11" xfId="779"/>
    <cellStyle name="Total 2 12" xfId="780"/>
    <cellStyle name="Total 2 13" xfId="781"/>
    <cellStyle name="Total 2 14" xfId="782"/>
    <cellStyle name="Total 2 15" xfId="783"/>
    <cellStyle name="Total 2 16" xfId="784"/>
    <cellStyle name="Total 2 17" xfId="785"/>
    <cellStyle name="Total 2 18" xfId="786"/>
    <cellStyle name="Total 2 2" xfId="787"/>
    <cellStyle name="Total 2 3" xfId="788"/>
    <cellStyle name="Total 2 4" xfId="789"/>
    <cellStyle name="Total 2 5" xfId="790"/>
    <cellStyle name="Total 2 6" xfId="791"/>
    <cellStyle name="Total 2 7" xfId="792"/>
    <cellStyle name="Total 2 8" xfId="793"/>
    <cellStyle name="Total 2 9" xfId="794"/>
    <cellStyle name="Total 3" xfId="795"/>
    <cellStyle name="Total 4" xfId="796"/>
    <cellStyle name="Total 5" xfId="797"/>
    <cellStyle name="Total 6" xfId="798"/>
    <cellStyle name="Total 7" xfId="799"/>
    <cellStyle name="Total 8" xfId="800"/>
    <cellStyle name="Total 9" xfId="801"/>
    <cellStyle name="Warning Text" xfId="802"/>
    <cellStyle name="Акт" xfId="803"/>
    <cellStyle name="Акт 10" xfId="804"/>
    <cellStyle name="Акт 10 2" xfId="805"/>
    <cellStyle name="Акт 11" xfId="806"/>
    <cellStyle name="Акт 11 2" xfId="807"/>
    <cellStyle name="Акт 12" xfId="808"/>
    <cellStyle name="Акт 12 2" xfId="809"/>
    <cellStyle name="Акт 13" xfId="810"/>
    <cellStyle name="Акт 13 2" xfId="811"/>
    <cellStyle name="Акт 14" xfId="812"/>
    <cellStyle name="Акт 14 2" xfId="813"/>
    <cellStyle name="Акт 15" xfId="814"/>
    <cellStyle name="Акт 15 2" xfId="815"/>
    <cellStyle name="Акт 16" xfId="816"/>
    <cellStyle name="Акт 16 2" xfId="817"/>
    <cellStyle name="Акт 17" xfId="818"/>
    <cellStyle name="Акт 17 2" xfId="819"/>
    <cellStyle name="Акт 18" xfId="820"/>
    <cellStyle name="Акт 18 2" xfId="821"/>
    <cellStyle name="Акт 19" xfId="822"/>
    <cellStyle name="Акт 19 2" xfId="823"/>
    <cellStyle name="Акт 2" xfId="824"/>
    <cellStyle name="Акт 2 10" xfId="825"/>
    <cellStyle name="Акт 2 10 2" xfId="826"/>
    <cellStyle name="Акт 2 11" xfId="827"/>
    <cellStyle name="Акт 2 11 2" xfId="828"/>
    <cellStyle name="Акт 2 12" xfId="829"/>
    <cellStyle name="Акт 2 12 2" xfId="830"/>
    <cellStyle name="Акт 2 13" xfId="831"/>
    <cellStyle name="Акт 2 13 2" xfId="832"/>
    <cellStyle name="Акт 2 14" xfId="833"/>
    <cellStyle name="Акт 2 14 2" xfId="834"/>
    <cellStyle name="Акт 2 15" xfId="835"/>
    <cellStyle name="Акт 2 15 2" xfId="836"/>
    <cellStyle name="Акт 2 16" xfId="837"/>
    <cellStyle name="Акт 2 16 2" xfId="838"/>
    <cellStyle name="Акт 2 17" xfId="839"/>
    <cellStyle name="Акт 2 17 2" xfId="840"/>
    <cellStyle name="Акт 2 18" xfId="841"/>
    <cellStyle name="Акт 2 18 2" xfId="842"/>
    <cellStyle name="Акт 2 19" xfId="843"/>
    <cellStyle name="Акт 2 2" xfId="844"/>
    <cellStyle name="Акт 2 2 2" xfId="845"/>
    <cellStyle name="Акт 2 3" xfId="846"/>
    <cellStyle name="Акт 2 3 2" xfId="847"/>
    <cellStyle name="Акт 2 4" xfId="848"/>
    <cellStyle name="Акт 2 4 2" xfId="849"/>
    <cellStyle name="Акт 2 5" xfId="850"/>
    <cellStyle name="Акт 2 5 2" xfId="851"/>
    <cellStyle name="Акт 2 6" xfId="852"/>
    <cellStyle name="Акт 2 6 2" xfId="853"/>
    <cellStyle name="Акт 2 7" xfId="854"/>
    <cellStyle name="Акт 2 7 2" xfId="855"/>
    <cellStyle name="Акт 2 8" xfId="856"/>
    <cellStyle name="Акт 2 8 2" xfId="857"/>
    <cellStyle name="Акт 2 9" xfId="858"/>
    <cellStyle name="Акт 2 9 2" xfId="859"/>
    <cellStyle name="Акт 20" xfId="860"/>
    <cellStyle name="Акт 3" xfId="861"/>
    <cellStyle name="Акт 3 10" xfId="862"/>
    <cellStyle name="Акт 3 10 2" xfId="863"/>
    <cellStyle name="Акт 3 11" xfId="864"/>
    <cellStyle name="Акт 3 11 2" xfId="865"/>
    <cellStyle name="Акт 3 12" xfId="866"/>
    <cellStyle name="Акт 3 12 2" xfId="867"/>
    <cellStyle name="Акт 3 13" xfId="868"/>
    <cellStyle name="Акт 3 13 2" xfId="869"/>
    <cellStyle name="Акт 3 14" xfId="870"/>
    <cellStyle name="Акт 3 14 2" xfId="871"/>
    <cellStyle name="Акт 3 15" xfId="872"/>
    <cellStyle name="Акт 3 15 2" xfId="873"/>
    <cellStyle name="Акт 3 16" xfId="874"/>
    <cellStyle name="Акт 3 16 2" xfId="875"/>
    <cellStyle name="Акт 3 17" xfId="876"/>
    <cellStyle name="Акт 3 17 2" xfId="877"/>
    <cellStyle name="Акт 3 18" xfId="878"/>
    <cellStyle name="Акт 3 18 2" xfId="879"/>
    <cellStyle name="Акт 3 19" xfId="880"/>
    <cellStyle name="Акт 3 2" xfId="881"/>
    <cellStyle name="Акт 3 2 2" xfId="882"/>
    <cellStyle name="Акт 3 3" xfId="883"/>
    <cellStyle name="Акт 3 3 2" xfId="884"/>
    <cellStyle name="Акт 3 4" xfId="885"/>
    <cellStyle name="Акт 3 4 2" xfId="886"/>
    <cellStyle name="Акт 3 5" xfId="887"/>
    <cellStyle name="Акт 3 5 2" xfId="888"/>
    <cellStyle name="Акт 3 6" xfId="889"/>
    <cellStyle name="Акт 3 6 2" xfId="890"/>
    <cellStyle name="Акт 3 7" xfId="891"/>
    <cellStyle name="Акт 3 7 2" xfId="892"/>
    <cellStyle name="Акт 3 8" xfId="893"/>
    <cellStyle name="Акт 3 8 2" xfId="894"/>
    <cellStyle name="Акт 3 9" xfId="895"/>
    <cellStyle name="Акт 3 9 2" xfId="896"/>
    <cellStyle name="Акт 4" xfId="897"/>
    <cellStyle name="Акт 4 10" xfId="898"/>
    <cellStyle name="Акт 4 10 2" xfId="899"/>
    <cellStyle name="Акт 4 11" xfId="900"/>
    <cellStyle name="Акт 4 11 2" xfId="901"/>
    <cellStyle name="Акт 4 12" xfId="902"/>
    <cellStyle name="Акт 4 12 2" xfId="903"/>
    <cellStyle name="Акт 4 13" xfId="904"/>
    <cellStyle name="Акт 4 13 2" xfId="905"/>
    <cellStyle name="Акт 4 14" xfId="906"/>
    <cellStyle name="Акт 4 14 2" xfId="907"/>
    <cellStyle name="Акт 4 15" xfId="908"/>
    <cellStyle name="Акт 4 15 2" xfId="909"/>
    <cellStyle name="Акт 4 16" xfId="910"/>
    <cellStyle name="Акт 4 16 2" xfId="911"/>
    <cellStyle name="Акт 4 17" xfId="912"/>
    <cellStyle name="Акт 4 17 2" xfId="913"/>
    <cellStyle name="Акт 4 18" xfId="914"/>
    <cellStyle name="Акт 4 18 2" xfId="915"/>
    <cellStyle name="Акт 4 19" xfId="916"/>
    <cellStyle name="Акт 4 2" xfId="917"/>
    <cellStyle name="Акт 4 2 2" xfId="918"/>
    <cellStyle name="Акт 4 3" xfId="919"/>
    <cellStyle name="Акт 4 3 2" xfId="920"/>
    <cellStyle name="Акт 4 4" xfId="921"/>
    <cellStyle name="Акт 4 4 2" xfId="922"/>
    <cellStyle name="Акт 4 5" xfId="923"/>
    <cellStyle name="Акт 4 5 2" xfId="924"/>
    <cellStyle name="Акт 4 6" xfId="925"/>
    <cellStyle name="Акт 4 6 2" xfId="926"/>
    <cellStyle name="Акт 4 7" xfId="927"/>
    <cellStyle name="Акт 4 7 2" xfId="928"/>
    <cellStyle name="Акт 4 8" xfId="929"/>
    <cellStyle name="Акт 4 8 2" xfId="930"/>
    <cellStyle name="Акт 4 9" xfId="931"/>
    <cellStyle name="Акт 4 9 2" xfId="932"/>
    <cellStyle name="Акт 5" xfId="933"/>
    <cellStyle name="Акт 5 2" xfId="934"/>
    <cellStyle name="Акт 6" xfId="935"/>
    <cellStyle name="Акт 6 2" xfId="936"/>
    <cellStyle name="Акт 7" xfId="937"/>
    <cellStyle name="Акт 7 2" xfId="938"/>
    <cellStyle name="Акт 8" xfId="939"/>
    <cellStyle name="Акт 8 2" xfId="940"/>
    <cellStyle name="Акт 9" xfId="941"/>
    <cellStyle name="Акт 9 2" xfId="942"/>
    <cellStyle name="Акцент1 10" xfId="943"/>
    <cellStyle name="Акцент1 11" xfId="944"/>
    <cellStyle name="Акцент1 2" xfId="945"/>
    <cellStyle name="Акцент1 3" xfId="946"/>
    <cellStyle name="Акцент1 4" xfId="947"/>
    <cellStyle name="Акцент1 5" xfId="948"/>
    <cellStyle name="Акцент1 6" xfId="949"/>
    <cellStyle name="Акцент1 7" xfId="950"/>
    <cellStyle name="Акцент1 8" xfId="951"/>
    <cellStyle name="Акцент1 9" xfId="952"/>
    <cellStyle name="Акцент2 10" xfId="953"/>
    <cellStyle name="Акцент2 11" xfId="954"/>
    <cellStyle name="Акцент2 2" xfId="955"/>
    <cellStyle name="Акцент2 3" xfId="956"/>
    <cellStyle name="Акцент2 4" xfId="957"/>
    <cellStyle name="Акцент2 5" xfId="958"/>
    <cellStyle name="Акцент2 6" xfId="959"/>
    <cellStyle name="Акцент2 7" xfId="960"/>
    <cellStyle name="Акцент2 8" xfId="961"/>
    <cellStyle name="Акцент2 9" xfId="962"/>
    <cellStyle name="Акцент3 10" xfId="963"/>
    <cellStyle name="Акцент3 11" xfId="964"/>
    <cellStyle name="Акцент3 2" xfId="965"/>
    <cellStyle name="Акцент3 3" xfId="966"/>
    <cellStyle name="Акцент3 4" xfId="967"/>
    <cellStyle name="Акцент3 5" xfId="968"/>
    <cellStyle name="Акцент3 6" xfId="969"/>
    <cellStyle name="Акцент3 7" xfId="970"/>
    <cellStyle name="Акцент3 8" xfId="971"/>
    <cellStyle name="Акцент3 9" xfId="972"/>
    <cellStyle name="Акцент4 10" xfId="973"/>
    <cellStyle name="Акцент4 11" xfId="974"/>
    <cellStyle name="Акцент4 2" xfId="975"/>
    <cellStyle name="Акцент4 3" xfId="976"/>
    <cellStyle name="Акцент4 4" xfId="977"/>
    <cellStyle name="Акцент4 5" xfId="978"/>
    <cellStyle name="Акцент4 6" xfId="979"/>
    <cellStyle name="Акцент4 7" xfId="980"/>
    <cellStyle name="Акцент4 8" xfId="981"/>
    <cellStyle name="Акцент4 9" xfId="982"/>
    <cellStyle name="Акцент5 10" xfId="983"/>
    <cellStyle name="Акцент5 11" xfId="984"/>
    <cellStyle name="Акцент5 2" xfId="985"/>
    <cellStyle name="Акцент5 3" xfId="986"/>
    <cellStyle name="Акцент5 4" xfId="987"/>
    <cellStyle name="Акцент5 5" xfId="988"/>
    <cellStyle name="Акцент5 6" xfId="989"/>
    <cellStyle name="Акцент5 7" xfId="990"/>
    <cellStyle name="Акцент5 8" xfId="991"/>
    <cellStyle name="Акцент5 9" xfId="992"/>
    <cellStyle name="Акцент6 10" xfId="993"/>
    <cellStyle name="Акцент6 11" xfId="994"/>
    <cellStyle name="Акцент6 2" xfId="995"/>
    <cellStyle name="Акцент6 3" xfId="996"/>
    <cellStyle name="Акцент6 4" xfId="997"/>
    <cellStyle name="Акцент6 5" xfId="998"/>
    <cellStyle name="Акцент6 6" xfId="999"/>
    <cellStyle name="Акцент6 7" xfId="1000"/>
    <cellStyle name="Акцент6 8" xfId="1001"/>
    <cellStyle name="Акцент6 9" xfId="1002"/>
    <cellStyle name="Ввод  10" xfId="1003"/>
    <cellStyle name="Ввод  10 10" xfId="1004"/>
    <cellStyle name="Ввод  10 11" xfId="1005"/>
    <cellStyle name="Ввод  10 12" xfId="1006"/>
    <cellStyle name="Ввод  10 13" xfId="1007"/>
    <cellStyle name="Ввод  10 14" xfId="1008"/>
    <cellStyle name="Ввод  10 15" xfId="1009"/>
    <cellStyle name="Ввод  10 16" xfId="1010"/>
    <cellStyle name="Ввод  10 17" xfId="1011"/>
    <cellStyle name="Ввод  10 18" xfId="1012"/>
    <cellStyle name="Ввод  10 2" xfId="1013"/>
    <cellStyle name="Ввод  10 2 10" xfId="1014"/>
    <cellStyle name="Ввод  10 2 11" xfId="1015"/>
    <cellStyle name="Ввод  10 2 12" xfId="1016"/>
    <cellStyle name="Ввод  10 2 13" xfId="1017"/>
    <cellStyle name="Ввод  10 2 14" xfId="1018"/>
    <cellStyle name="Ввод  10 2 15" xfId="1019"/>
    <cellStyle name="Ввод  10 2 16" xfId="1020"/>
    <cellStyle name="Ввод  10 2 17" xfId="1021"/>
    <cellStyle name="Ввод  10 2 18" xfId="1022"/>
    <cellStyle name="Ввод  10 2 2" xfId="1023"/>
    <cellStyle name="Ввод  10 2 3" xfId="1024"/>
    <cellStyle name="Ввод  10 2 4" xfId="1025"/>
    <cellStyle name="Ввод  10 2 5" xfId="1026"/>
    <cellStyle name="Ввод  10 2 6" xfId="1027"/>
    <cellStyle name="Ввод  10 2 7" xfId="1028"/>
    <cellStyle name="Ввод  10 2 8" xfId="1029"/>
    <cellStyle name="Ввод  10 2 9" xfId="1030"/>
    <cellStyle name="Ввод  10 3" xfId="1031"/>
    <cellStyle name="Ввод  10 3 10" xfId="1032"/>
    <cellStyle name="Ввод  10 3 11" xfId="1033"/>
    <cellStyle name="Ввод  10 3 12" xfId="1034"/>
    <cellStyle name="Ввод  10 3 13" xfId="1035"/>
    <cellStyle name="Ввод  10 3 14" xfId="1036"/>
    <cellStyle name="Ввод  10 3 15" xfId="1037"/>
    <cellStyle name="Ввод  10 3 16" xfId="1038"/>
    <cellStyle name="Ввод  10 3 17" xfId="1039"/>
    <cellStyle name="Ввод  10 3 18" xfId="1040"/>
    <cellStyle name="Ввод  10 3 2" xfId="1041"/>
    <cellStyle name="Ввод  10 3 3" xfId="1042"/>
    <cellStyle name="Ввод  10 3 4" xfId="1043"/>
    <cellStyle name="Ввод  10 3 5" xfId="1044"/>
    <cellStyle name="Ввод  10 3 6" xfId="1045"/>
    <cellStyle name="Ввод  10 3 7" xfId="1046"/>
    <cellStyle name="Ввод  10 3 8" xfId="1047"/>
    <cellStyle name="Ввод  10 3 9" xfId="1048"/>
    <cellStyle name="Ввод  10 4" xfId="1049"/>
    <cellStyle name="Ввод  10 5" xfId="1050"/>
    <cellStyle name="Ввод  10 6" xfId="1051"/>
    <cellStyle name="Ввод  10 7" xfId="1052"/>
    <cellStyle name="Ввод  10 8" xfId="1053"/>
    <cellStyle name="Ввод  10 9" xfId="1054"/>
    <cellStyle name="Ввод  11" xfId="1055"/>
    <cellStyle name="Ввод  2" xfId="1056"/>
    <cellStyle name="Ввод  2 10" xfId="1057"/>
    <cellStyle name="Ввод  2 11" xfId="1058"/>
    <cellStyle name="Ввод  2 12" xfId="1059"/>
    <cellStyle name="Ввод  2 13" xfId="1060"/>
    <cellStyle name="Ввод  2 14" xfId="1061"/>
    <cellStyle name="Ввод  2 15" xfId="1062"/>
    <cellStyle name="Ввод  2 16" xfId="1063"/>
    <cellStyle name="Ввод  2 17" xfId="1064"/>
    <cellStyle name="Ввод  2 18" xfId="1065"/>
    <cellStyle name="Ввод  2 2" xfId="1066"/>
    <cellStyle name="Ввод  2 2 10" xfId="1067"/>
    <cellStyle name="Ввод  2 2 11" xfId="1068"/>
    <cellStyle name="Ввод  2 2 12" xfId="1069"/>
    <cellStyle name="Ввод  2 2 13" xfId="1070"/>
    <cellStyle name="Ввод  2 2 14" xfId="1071"/>
    <cellStyle name="Ввод  2 2 15" xfId="1072"/>
    <cellStyle name="Ввод  2 2 16" xfId="1073"/>
    <cellStyle name="Ввод  2 2 17" xfId="1074"/>
    <cellStyle name="Ввод  2 2 18" xfId="1075"/>
    <cellStyle name="Ввод  2 2 2" xfId="1076"/>
    <cellStyle name="Ввод  2 2 3" xfId="1077"/>
    <cellStyle name="Ввод  2 2 4" xfId="1078"/>
    <cellStyle name="Ввод  2 2 5" xfId="1079"/>
    <cellStyle name="Ввод  2 2 6" xfId="1080"/>
    <cellStyle name="Ввод  2 2 7" xfId="1081"/>
    <cellStyle name="Ввод  2 2 8" xfId="1082"/>
    <cellStyle name="Ввод  2 2 9" xfId="1083"/>
    <cellStyle name="Ввод  2 3" xfId="1084"/>
    <cellStyle name="Ввод  2 3 10" xfId="1085"/>
    <cellStyle name="Ввод  2 3 11" xfId="1086"/>
    <cellStyle name="Ввод  2 3 12" xfId="1087"/>
    <cellStyle name="Ввод  2 3 13" xfId="1088"/>
    <cellStyle name="Ввод  2 3 14" xfId="1089"/>
    <cellStyle name="Ввод  2 3 15" xfId="1090"/>
    <cellStyle name="Ввод  2 3 16" xfId="1091"/>
    <cellStyle name="Ввод  2 3 17" xfId="1092"/>
    <cellStyle name="Ввод  2 3 18" xfId="1093"/>
    <cellStyle name="Ввод  2 3 2" xfId="1094"/>
    <cellStyle name="Ввод  2 3 3" xfId="1095"/>
    <cellStyle name="Ввод  2 3 4" xfId="1096"/>
    <cellStyle name="Ввод  2 3 5" xfId="1097"/>
    <cellStyle name="Ввод  2 3 6" xfId="1098"/>
    <cellStyle name="Ввод  2 3 7" xfId="1099"/>
    <cellStyle name="Ввод  2 3 8" xfId="1100"/>
    <cellStyle name="Ввод  2 3 9" xfId="1101"/>
    <cellStyle name="Ввод  2 4" xfId="1102"/>
    <cellStyle name="Ввод  2 5" xfId="1103"/>
    <cellStyle name="Ввод  2 6" xfId="1104"/>
    <cellStyle name="Ввод  2 7" xfId="1105"/>
    <cellStyle name="Ввод  2 8" xfId="1106"/>
    <cellStyle name="Ввод  2 9" xfId="1107"/>
    <cellStyle name="Ввод  3" xfId="1108"/>
    <cellStyle name="Ввод  3 10" xfId="1109"/>
    <cellStyle name="Ввод  3 11" xfId="1110"/>
    <cellStyle name="Ввод  3 12" xfId="1111"/>
    <cellStyle name="Ввод  3 13" xfId="1112"/>
    <cellStyle name="Ввод  3 14" xfId="1113"/>
    <cellStyle name="Ввод  3 15" xfId="1114"/>
    <cellStyle name="Ввод  3 16" xfId="1115"/>
    <cellStyle name="Ввод  3 17" xfId="1116"/>
    <cellStyle name="Ввод  3 18" xfId="1117"/>
    <cellStyle name="Ввод  3 2" xfId="1118"/>
    <cellStyle name="Ввод  3 2 10" xfId="1119"/>
    <cellStyle name="Ввод  3 2 11" xfId="1120"/>
    <cellStyle name="Ввод  3 2 12" xfId="1121"/>
    <cellStyle name="Ввод  3 2 13" xfId="1122"/>
    <cellStyle name="Ввод  3 2 14" xfId="1123"/>
    <cellStyle name="Ввод  3 2 15" xfId="1124"/>
    <cellStyle name="Ввод  3 2 16" xfId="1125"/>
    <cellStyle name="Ввод  3 2 17" xfId="1126"/>
    <cellStyle name="Ввод  3 2 18" xfId="1127"/>
    <cellStyle name="Ввод  3 2 2" xfId="1128"/>
    <cellStyle name="Ввод  3 2 3" xfId="1129"/>
    <cellStyle name="Ввод  3 2 4" xfId="1130"/>
    <cellStyle name="Ввод  3 2 5" xfId="1131"/>
    <cellStyle name="Ввод  3 2 6" xfId="1132"/>
    <cellStyle name="Ввод  3 2 7" xfId="1133"/>
    <cellStyle name="Ввод  3 2 8" xfId="1134"/>
    <cellStyle name="Ввод  3 2 9" xfId="1135"/>
    <cellStyle name="Ввод  3 3" xfId="1136"/>
    <cellStyle name="Ввод  3 3 10" xfId="1137"/>
    <cellStyle name="Ввод  3 3 11" xfId="1138"/>
    <cellStyle name="Ввод  3 3 12" xfId="1139"/>
    <cellStyle name="Ввод  3 3 13" xfId="1140"/>
    <cellStyle name="Ввод  3 3 14" xfId="1141"/>
    <cellStyle name="Ввод  3 3 15" xfId="1142"/>
    <cellStyle name="Ввод  3 3 16" xfId="1143"/>
    <cellStyle name="Ввод  3 3 17" xfId="1144"/>
    <cellStyle name="Ввод  3 3 18" xfId="1145"/>
    <cellStyle name="Ввод  3 3 2" xfId="1146"/>
    <cellStyle name="Ввод  3 3 3" xfId="1147"/>
    <cellStyle name="Ввод  3 3 4" xfId="1148"/>
    <cellStyle name="Ввод  3 3 5" xfId="1149"/>
    <cellStyle name="Ввод  3 3 6" xfId="1150"/>
    <cellStyle name="Ввод  3 3 7" xfId="1151"/>
    <cellStyle name="Ввод  3 3 8" xfId="1152"/>
    <cellStyle name="Ввод  3 3 9" xfId="1153"/>
    <cellStyle name="Ввод  3 4" xfId="1154"/>
    <cellStyle name="Ввод  3 5" xfId="1155"/>
    <cellStyle name="Ввод  3 6" xfId="1156"/>
    <cellStyle name="Ввод  3 7" xfId="1157"/>
    <cellStyle name="Ввод  3 8" xfId="1158"/>
    <cellStyle name="Ввод  3 9" xfId="1159"/>
    <cellStyle name="Ввод  4" xfId="1160"/>
    <cellStyle name="Ввод  4 10" xfId="1161"/>
    <cellStyle name="Ввод  4 11" xfId="1162"/>
    <cellStyle name="Ввод  4 12" xfId="1163"/>
    <cellStyle name="Ввод  4 13" xfId="1164"/>
    <cellStyle name="Ввод  4 14" xfId="1165"/>
    <cellStyle name="Ввод  4 15" xfId="1166"/>
    <cellStyle name="Ввод  4 16" xfId="1167"/>
    <cellStyle name="Ввод  4 17" xfId="1168"/>
    <cellStyle name="Ввод  4 18" xfId="1169"/>
    <cellStyle name="Ввод  4 2" xfId="1170"/>
    <cellStyle name="Ввод  4 2 10" xfId="1171"/>
    <cellStyle name="Ввод  4 2 11" xfId="1172"/>
    <cellStyle name="Ввод  4 2 12" xfId="1173"/>
    <cellStyle name="Ввод  4 2 13" xfId="1174"/>
    <cellStyle name="Ввод  4 2 14" xfId="1175"/>
    <cellStyle name="Ввод  4 2 15" xfId="1176"/>
    <cellStyle name="Ввод  4 2 16" xfId="1177"/>
    <cellStyle name="Ввод  4 2 17" xfId="1178"/>
    <cellStyle name="Ввод  4 2 18" xfId="1179"/>
    <cellStyle name="Ввод  4 2 2" xfId="1180"/>
    <cellStyle name="Ввод  4 2 3" xfId="1181"/>
    <cellStyle name="Ввод  4 2 4" xfId="1182"/>
    <cellStyle name="Ввод  4 2 5" xfId="1183"/>
    <cellStyle name="Ввод  4 2 6" xfId="1184"/>
    <cellStyle name="Ввод  4 2 7" xfId="1185"/>
    <cellStyle name="Ввод  4 2 8" xfId="1186"/>
    <cellStyle name="Ввод  4 2 9" xfId="1187"/>
    <cellStyle name="Ввод  4 3" xfId="1188"/>
    <cellStyle name="Ввод  4 3 10" xfId="1189"/>
    <cellStyle name="Ввод  4 3 11" xfId="1190"/>
    <cellStyle name="Ввод  4 3 12" xfId="1191"/>
    <cellStyle name="Ввод  4 3 13" xfId="1192"/>
    <cellStyle name="Ввод  4 3 14" xfId="1193"/>
    <cellStyle name="Ввод  4 3 15" xfId="1194"/>
    <cellStyle name="Ввод  4 3 16" xfId="1195"/>
    <cellStyle name="Ввод  4 3 17" xfId="1196"/>
    <cellStyle name="Ввод  4 3 18" xfId="1197"/>
    <cellStyle name="Ввод  4 3 2" xfId="1198"/>
    <cellStyle name="Ввод  4 3 3" xfId="1199"/>
    <cellStyle name="Ввод  4 3 4" xfId="1200"/>
    <cellStyle name="Ввод  4 3 5" xfId="1201"/>
    <cellStyle name="Ввод  4 3 6" xfId="1202"/>
    <cellStyle name="Ввод  4 3 7" xfId="1203"/>
    <cellStyle name="Ввод  4 3 8" xfId="1204"/>
    <cellStyle name="Ввод  4 3 9" xfId="1205"/>
    <cellStyle name="Ввод  4 4" xfId="1206"/>
    <cellStyle name="Ввод  4 5" xfId="1207"/>
    <cellStyle name="Ввод  4 6" xfId="1208"/>
    <cellStyle name="Ввод  4 7" xfId="1209"/>
    <cellStyle name="Ввод  4 8" xfId="1210"/>
    <cellStyle name="Ввод  4 9" xfId="1211"/>
    <cellStyle name="Ввод  5" xfId="1212"/>
    <cellStyle name="Ввод  5 10" xfId="1213"/>
    <cellStyle name="Ввод  5 11" xfId="1214"/>
    <cellStyle name="Ввод  5 12" xfId="1215"/>
    <cellStyle name="Ввод  5 13" xfId="1216"/>
    <cellStyle name="Ввод  5 14" xfId="1217"/>
    <cellStyle name="Ввод  5 15" xfId="1218"/>
    <cellStyle name="Ввод  5 16" xfId="1219"/>
    <cellStyle name="Ввод  5 17" xfId="1220"/>
    <cellStyle name="Ввод  5 18" xfId="1221"/>
    <cellStyle name="Ввод  5 2" xfId="1222"/>
    <cellStyle name="Ввод  5 2 10" xfId="1223"/>
    <cellStyle name="Ввод  5 2 11" xfId="1224"/>
    <cellStyle name="Ввод  5 2 12" xfId="1225"/>
    <cellStyle name="Ввод  5 2 13" xfId="1226"/>
    <cellStyle name="Ввод  5 2 14" xfId="1227"/>
    <cellStyle name="Ввод  5 2 15" xfId="1228"/>
    <cellStyle name="Ввод  5 2 16" xfId="1229"/>
    <cellStyle name="Ввод  5 2 17" xfId="1230"/>
    <cellStyle name="Ввод  5 2 18" xfId="1231"/>
    <cellStyle name="Ввод  5 2 2" xfId="1232"/>
    <cellStyle name="Ввод  5 2 3" xfId="1233"/>
    <cellStyle name="Ввод  5 2 4" xfId="1234"/>
    <cellStyle name="Ввод  5 2 5" xfId="1235"/>
    <cellStyle name="Ввод  5 2 6" xfId="1236"/>
    <cellStyle name="Ввод  5 2 7" xfId="1237"/>
    <cellStyle name="Ввод  5 2 8" xfId="1238"/>
    <cellStyle name="Ввод  5 2 9" xfId="1239"/>
    <cellStyle name="Ввод  5 3" xfId="1240"/>
    <cellStyle name="Ввод  5 3 10" xfId="1241"/>
    <cellStyle name="Ввод  5 3 11" xfId="1242"/>
    <cellStyle name="Ввод  5 3 12" xfId="1243"/>
    <cellStyle name="Ввод  5 3 13" xfId="1244"/>
    <cellStyle name="Ввод  5 3 14" xfId="1245"/>
    <cellStyle name="Ввод  5 3 15" xfId="1246"/>
    <cellStyle name="Ввод  5 3 16" xfId="1247"/>
    <cellStyle name="Ввод  5 3 17" xfId="1248"/>
    <cellStyle name="Ввод  5 3 18" xfId="1249"/>
    <cellStyle name="Ввод  5 3 2" xfId="1250"/>
    <cellStyle name="Ввод  5 3 3" xfId="1251"/>
    <cellStyle name="Ввод  5 3 4" xfId="1252"/>
    <cellStyle name="Ввод  5 3 5" xfId="1253"/>
    <cellStyle name="Ввод  5 3 6" xfId="1254"/>
    <cellStyle name="Ввод  5 3 7" xfId="1255"/>
    <cellStyle name="Ввод  5 3 8" xfId="1256"/>
    <cellStyle name="Ввод  5 3 9" xfId="1257"/>
    <cellStyle name="Ввод  5 4" xfId="1258"/>
    <cellStyle name="Ввод  5 5" xfId="1259"/>
    <cellStyle name="Ввод  5 6" xfId="1260"/>
    <cellStyle name="Ввод  5 7" xfId="1261"/>
    <cellStyle name="Ввод  5 8" xfId="1262"/>
    <cellStyle name="Ввод  5 9" xfId="1263"/>
    <cellStyle name="Ввод  6" xfId="1264"/>
    <cellStyle name="Ввод  6 10" xfId="1265"/>
    <cellStyle name="Ввод  6 11" xfId="1266"/>
    <cellStyle name="Ввод  6 12" xfId="1267"/>
    <cellStyle name="Ввод  6 13" xfId="1268"/>
    <cellStyle name="Ввод  6 14" xfId="1269"/>
    <cellStyle name="Ввод  6 15" xfId="1270"/>
    <cellStyle name="Ввод  6 16" xfId="1271"/>
    <cellStyle name="Ввод  6 17" xfId="1272"/>
    <cellStyle name="Ввод  6 18" xfId="1273"/>
    <cellStyle name="Ввод  6 2" xfId="1274"/>
    <cellStyle name="Ввод  6 2 10" xfId="1275"/>
    <cellStyle name="Ввод  6 2 11" xfId="1276"/>
    <cellStyle name="Ввод  6 2 12" xfId="1277"/>
    <cellStyle name="Ввод  6 2 13" xfId="1278"/>
    <cellStyle name="Ввод  6 2 14" xfId="1279"/>
    <cellStyle name="Ввод  6 2 15" xfId="1280"/>
    <cellStyle name="Ввод  6 2 16" xfId="1281"/>
    <cellStyle name="Ввод  6 2 17" xfId="1282"/>
    <cellStyle name="Ввод  6 2 18" xfId="1283"/>
    <cellStyle name="Ввод  6 2 2" xfId="1284"/>
    <cellStyle name="Ввод  6 2 3" xfId="1285"/>
    <cellStyle name="Ввод  6 2 4" xfId="1286"/>
    <cellStyle name="Ввод  6 2 5" xfId="1287"/>
    <cellStyle name="Ввод  6 2 6" xfId="1288"/>
    <cellStyle name="Ввод  6 2 7" xfId="1289"/>
    <cellStyle name="Ввод  6 2 8" xfId="1290"/>
    <cellStyle name="Ввод  6 2 9" xfId="1291"/>
    <cellStyle name="Ввод  6 3" xfId="1292"/>
    <cellStyle name="Ввод  6 3 10" xfId="1293"/>
    <cellStyle name="Ввод  6 3 11" xfId="1294"/>
    <cellStyle name="Ввод  6 3 12" xfId="1295"/>
    <cellStyle name="Ввод  6 3 13" xfId="1296"/>
    <cellStyle name="Ввод  6 3 14" xfId="1297"/>
    <cellStyle name="Ввод  6 3 15" xfId="1298"/>
    <cellStyle name="Ввод  6 3 16" xfId="1299"/>
    <cellStyle name="Ввод  6 3 17" xfId="1300"/>
    <cellStyle name="Ввод  6 3 18" xfId="1301"/>
    <cellStyle name="Ввод  6 3 2" xfId="1302"/>
    <cellStyle name="Ввод  6 3 3" xfId="1303"/>
    <cellStyle name="Ввод  6 3 4" xfId="1304"/>
    <cellStyle name="Ввод  6 3 5" xfId="1305"/>
    <cellStyle name="Ввод  6 3 6" xfId="1306"/>
    <cellStyle name="Ввод  6 3 7" xfId="1307"/>
    <cellStyle name="Ввод  6 3 8" xfId="1308"/>
    <cellStyle name="Ввод  6 3 9" xfId="1309"/>
    <cellStyle name="Ввод  6 4" xfId="1310"/>
    <cellStyle name="Ввод  6 5" xfId="1311"/>
    <cellStyle name="Ввод  6 6" xfId="1312"/>
    <cellStyle name="Ввод  6 7" xfId="1313"/>
    <cellStyle name="Ввод  6 8" xfId="1314"/>
    <cellStyle name="Ввод  6 9" xfId="1315"/>
    <cellStyle name="Ввод  7" xfId="1316"/>
    <cellStyle name="Ввод  7 10" xfId="1317"/>
    <cellStyle name="Ввод  7 11" xfId="1318"/>
    <cellStyle name="Ввод  7 12" xfId="1319"/>
    <cellStyle name="Ввод  7 13" xfId="1320"/>
    <cellStyle name="Ввод  7 14" xfId="1321"/>
    <cellStyle name="Ввод  7 15" xfId="1322"/>
    <cellStyle name="Ввод  7 16" xfId="1323"/>
    <cellStyle name="Ввод  7 17" xfId="1324"/>
    <cellStyle name="Ввод  7 18" xfId="1325"/>
    <cellStyle name="Ввод  7 2" xfId="1326"/>
    <cellStyle name="Ввод  7 2 10" xfId="1327"/>
    <cellStyle name="Ввод  7 2 11" xfId="1328"/>
    <cellStyle name="Ввод  7 2 12" xfId="1329"/>
    <cellStyle name="Ввод  7 2 13" xfId="1330"/>
    <cellStyle name="Ввод  7 2 14" xfId="1331"/>
    <cellStyle name="Ввод  7 2 15" xfId="1332"/>
    <cellStyle name="Ввод  7 2 16" xfId="1333"/>
    <cellStyle name="Ввод  7 2 17" xfId="1334"/>
    <cellStyle name="Ввод  7 2 18" xfId="1335"/>
    <cellStyle name="Ввод  7 2 2" xfId="1336"/>
    <cellStyle name="Ввод  7 2 3" xfId="1337"/>
    <cellStyle name="Ввод  7 2 4" xfId="1338"/>
    <cellStyle name="Ввод  7 2 5" xfId="1339"/>
    <cellStyle name="Ввод  7 2 6" xfId="1340"/>
    <cellStyle name="Ввод  7 2 7" xfId="1341"/>
    <cellStyle name="Ввод  7 2 8" xfId="1342"/>
    <cellStyle name="Ввод  7 2 9" xfId="1343"/>
    <cellStyle name="Ввод  7 3" xfId="1344"/>
    <cellStyle name="Ввод  7 3 10" xfId="1345"/>
    <cellStyle name="Ввод  7 3 11" xfId="1346"/>
    <cellStyle name="Ввод  7 3 12" xfId="1347"/>
    <cellStyle name="Ввод  7 3 13" xfId="1348"/>
    <cellStyle name="Ввод  7 3 14" xfId="1349"/>
    <cellStyle name="Ввод  7 3 15" xfId="1350"/>
    <cellStyle name="Ввод  7 3 16" xfId="1351"/>
    <cellStyle name="Ввод  7 3 17" xfId="1352"/>
    <cellStyle name="Ввод  7 3 18" xfId="1353"/>
    <cellStyle name="Ввод  7 3 2" xfId="1354"/>
    <cellStyle name="Ввод  7 3 3" xfId="1355"/>
    <cellStyle name="Ввод  7 3 4" xfId="1356"/>
    <cellStyle name="Ввод  7 3 5" xfId="1357"/>
    <cellStyle name="Ввод  7 3 6" xfId="1358"/>
    <cellStyle name="Ввод  7 3 7" xfId="1359"/>
    <cellStyle name="Ввод  7 3 8" xfId="1360"/>
    <cellStyle name="Ввод  7 3 9" xfId="1361"/>
    <cellStyle name="Ввод  7 4" xfId="1362"/>
    <cellStyle name="Ввод  7 5" xfId="1363"/>
    <cellStyle name="Ввод  7 6" xfId="1364"/>
    <cellStyle name="Ввод  7 7" xfId="1365"/>
    <cellStyle name="Ввод  7 8" xfId="1366"/>
    <cellStyle name="Ввод  7 9" xfId="1367"/>
    <cellStyle name="Ввод  8" xfId="1368"/>
    <cellStyle name="Ввод  8 10" xfId="1369"/>
    <cellStyle name="Ввод  8 11" xfId="1370"/>
    <cellStyle name="Ввод  8 12" xfId="1371"/>
    <cellStyle name="Ввод  8 13" xfId="1372"/>
    <cellStyle name="Ввод  8 14" xfId="1373"/>
    <cellStyle name="Ввод  8 15" xfId="1374"/>
    <cellStyle name="Ввод  8 16" xfId="1375"/>
    <cellStyle name="Ввод  8 17" xfId="1376"/>
    <cellStyle name="Ввод  8 18" xfId="1377"/>
    <cellStyle name="Ввод  8 2" xfId="1378"/>
    <cellStyle name="Ввод  8 2 10" xfId="1379"/>
    <cellStyle name="Ввод  8 2 11" xfId="1380"/>
    <cellStyle name="Ввод  8 2 12" xfId="1381"/>
    <cellStyle name="Ввод  8 2 13" xfId="1382"/>
    <cellStyle name="Ввод  8 2 14" xfId="1383"/>
    <cellStyle name="Ввод  8 2 15" xfId="1384"/>
    <cellStyle name="Ввод  8 2 16" xfId="1385"/>
    <cellStyle name="Ввод  8 2 17" xfId="1386"/>
    <cellStyle name="Ввод  8 2 18" xfId="1387"/>
    <cellStyle name="Ввод  8 2 2" xfId="1388"/>
    <cellStyle name="Ввод  8 2 3" xfId="1389"/>
    <cellStyle name="Ввод  8 2 4" xfId="1390"/>
    <cellStyle name="Ввод  8 2 5" xfId="1391"/>
    <cellStyle name="Ввод  8 2 6" xfId="1392"/>
    <cellStyle name="Ввод  8 2 7" xfId="1393"/>
    <cellStyle name="Ввод  8 2 8" xfId="1394"/>
    <cellStyle name="Ввод  8 2 9" xfId="1395"/>
    <cellStyle name="Ввод  8 3" xfId="1396"/>
    <cellStyle name="Ввод  8 3 10" xfId="1397"/>
    <cellStyle name="Ввод  8 3 11" xfId="1398"/>
    <cellStyle name="Ввод  8 3 12" xfId="1399"/>
    <cellStyle name="Ввод  8 3 13" xfId="1400"/>
    <cellStyle name="Ввод  8 3 14" xfId="1401"/>
    <cellStyle name="Ввод  8 3 15" xfId="1402"/>
    <cellStyle name="Ввод  8 3 16" xfId="1403"/>
    <cellStyle name="Ввод  8 3 17" xfId="1404"/>
    <cellStyle name="Ввод  8 3 18" xfId="1405"/>
    <cellStyle name="Ввод  8 3 2" xfId="1406"/>
    <cellStyle name="Ввод  8 3 3" xfId="1407"/>
    <cellStyle name="Ввод  8 3 4" xfId="1408"/>
    <cellStyle name="Ввод  8 3 5" xfId="1409"/>
    <cellStyle name="Ввод  8 3 6" xfId="1410"/>
    <cellStyle name="Ввод  8 3 7" xfId="1411"/>
    <cellStyle name="Ввод  8 3 8" xfId="1412"/>
    <cellStyle name="Ввод  8 3 9" xfId="1413"/>
    <cellStyle name="Ввод  8 4" xfId="1414"/>
    <cellStyle name="Ввод  8 5" xfId="1415"/>
    <cellStyle name="Ввод  8 6" xfId="1416"/>
    <cellStyle name="Ввод  8 7" xfId="1417"/>
    <cellStyle name="Ввод  8 8" xfId="1418"/>
    <cellStyle name="Ввод  8 9" xfId="1419"/>
    <cellStyle name="Ввод  9" xfId="1420"/>
    <cellStyle name="Ввод  9 10" xfId="1421"/>
    <cellStyle name="Ввод  9 11" xfId="1422"/>
    <cellStyle name="Ввод  9 12" xfId="1423"/>
    <cellStyle name="Ввод  9 13" xfId="1424"/>
    <cellStyle name="Ввод  9 14" xfId="1425"/>
    <cellStyle name="Ввод  9 15" xfId="1426"/>
    <cellStyle name="Ввод  9 16" xfId="1427"/>
    <cellStyle name="Ввод  9 17" xfId="1428"/>
    <cellStyle name="Ввод  9 18" xfId="1429"/>
    <cellStyle name="Ввод  9 2" xfId="1430"/>
    <cellStyle name="Ввод  9 2 10" xfId="1431"/>
    <cellStyle name="Ввод  9 2 11" xfId="1432"/>
    <cellStyle name="Ввод  9 2 12" xfId="1433"/>
    <cellStyle name="Ввод  9 2 13" xfId="1434"/>
    <cellStyle name="Ввод  9 2 14" xfId="1435"/>
    <cellStyle name="Ввод  9 2 15" xfId="1436"/>
    <cellStyle name="Ввод  9 2 16" xfId="1437"/>
    <cellStyle name="Ввод  9 2 17" xfId="1438"/>
    <cellStyle name="Ввод  9 2 18" xfId="1439"/>
    <cellStyle name="Ввод  9 2 2" xfId="1440"/>
    <cellStyle name="Ввод  9 2 3" xfId="1441"/>
    <cellStyle name="Ввод  9 2 4" xfId="1442"/>
    <cellStyle name="Ввод  9 2 5" xfId="1443"/>
    <cellStyle name="Ввод  9 2 6" xfId="1444"/>
    <cellStyle name="Ввод  9 2 7" xfId="1445"/>
    <cellStyle name="Ввод  9 2 8" xfId="1446"/>
    <cellStyle name="Ввод  9 2 9" xfId="1447"/>
    <cellStyle name="Ввод  9 3" xfId="1448"/>
    <cellStyle name="Ввод  9 3 10" xfId="1449"/>
    <cellStyle name="Ввод  9 3 11" xfId="1450"/>
    <cellStyle name="Ввод  9 3 12" xfId="1451"/>
    <cellStyle name="Ввод  9 3 13" xfId="1452"/>
    <cellStyle name="Ввод  9 3 14" xfId="1453"/>
    <cellStyle name="Ввод  9 3 15" xfId="1454"/>
    <cellStyle name="Ввод  9 3 16" xfId="1455"/>
    <cellStyle name="Ввод  9 3 17" xfId="1456"/>
    <cellStyle name="Ввод  9 3 18" xfId="1457"/>
    <cellStyle name="Ввод  9 3 2" xfId="1458"/>
    <cellStyle name="Ввод  9 3 3" xfId="1459"/>
    <cellStyle name="Ввод  9 3 4" xfId="1460"/>
    <cellStyle name="Ввод  9 3 5" xfId="1461"/>
    <cellStyle name="Ввод  9 3 6" xfId="1462"/>
    <cellStyle name="Ввод  9 3 7" xfId="1463"/>
    <cellStyle name="Ввод  9 3 8" xfId="1464"/>
    <cellStyle name="Ввод  9 3 9" xfId="1465"/>
    <cellStyle name="Ввод  9 4" xfId="1466"/>
    <cellStyle name="Ввод  9 5" xfId="1467"/>
    <cellStyle name="Ввод  9 6" xfId="1468"/>
    <cellStyle name="Ввод  9 7" xfId="1469"/>
    <cellStyle name="Ввод  9 8" xfId="1470"/>
    <cellStyle name="Ввод  9 9" xfId="1471"/>
    <cellStyle name="ВедРесурсов" xfId="1472"/>
    <cellStyle name="ВедРесурсов 10" xfId="1473"/>
    <cellStyle name="ВедРесурсов 10 2" xfId="1474"/>
    <cellStyle name="ВедРесурсов 11" xfId="1475"/>
    <cellStyle name="ВедРесурсов 11 2" xfId="1476"/>
    <cellStyle name="ВедРесурсов 12" xfId="1477"/>
    <cellStyle name="ВедРесурсов 12 2" xfId="1478"/>
    <cellStyle name="ВедРесурсов 13" xfId="1479"/>
    <cellStyle name="ВедРесурсов 13 2" xfId="1480"/>
    <cellStyle name="ВедРесурсов 14" xfId="1481"/>
    <cellStyle name="ВедРесурсов 14 2" xfId="1482"/>
    <cellStyle name="ВедРесурсов 15" xfId="1483"/>
    <cellStyle name="ВедРесурсов 15 2" xfId="1484"/>
    <cellStyle name="ВедРесурсов 16" xfId="1485"/>
    <cellStyle name="ВедРесурсов 16 2" xfId="1486"/>
    <cellStyle name="ВедРесурсов 17" xfId="1487"/>
    <cellStyle name="ВедРесурсов 17 2" xfId="1488"/>
    <cellStyle name="ВедРесурсов 18" xfId="1489"/>
    <cellStyle name="ВедРесурсов 18 2" xfId="1490"/>
    <cellStyle name="ВедРесурсов 19" xfId="1491"/>
    <cellStyle name="ВедРесурсов 19 2" xfId="1492"/>
    <cellStyle name="ВедРесурсов 2" xfId="1493"/>
    <cellStyle name="ВедРесурсов 2 10" xfId="1494"/>
    <cellStyle name="ВедРесурсов 2 10 2" xfId="1495"/>
    <cellStyle name="ВедРесурсов 2 11" xfId="1496"/>
    <cellStyle name="ВедРесурсов 2 11 2" xfId="1497"/>
    <cellStyle name="ВедРесурсов 2 12" xfId="1498"/>
    <cellStyle name="ВедРесурсов 2 12 2" xfId="1499"/>
    <cellStyle name="ВедРесурсов 2 13" xfId="1500"/>
    <cellStyle name="ВедРесурсов 2 13 2" xfId="1501"/>
    <cellStyle name="ВедРесурсов 2 14" xfId="1502"/>
    <cellStyle name="ВедРесурсов 2 14 2" xfId="1503"/>
    <cellStyle name="ВедРесурсов 2 15" xfId="1504"/>
    <cellStyle name="ВедРесурсов 2 15 2" xfId="1505"/>
    <cellStyle name="ВедРесурсов 2 16" xfId="1506"/>
    <cellStyle name="ВедРесурсов 2 16 2" xfId="1507"/>
    <cellStyle name="ВедРесурсов 2 17" xfId="1508"/>
    <cellStyle name="ВедРесурсов 2 17 2" xfId="1509"/>
    <cellStyle name="ВедРесурсов 2 18" xfId="1510"/>
    <cellStyle name="ВедРесурсов 2 18 2" xfId="1511"/>
    <cellStyle name="ВедРесурсов 2 19" xfId="1512"/>
    <cellStyle name="ВедРесурсов 2 2" xfId="1513"/>
    <cellStyle name="ВедРесурсов 2 2 2" xfId="1514"/>
    <cellStyle name="ВедРесурсов 2 3" xfId="1515"/>
    <cellStyle name="ВедРесурсов 2 3 2" xfId="1516"/>
    <cellStyle name="ВедРесурсов 2 4" xfId="1517"/>
    <cellStyle name="ВедРесурсов 2 4 2" xfId="1518"/>
    <cellStyle name="ВедРесурсов 2 5" xfId="1519"/>
    <cellStyle name="ВедРесурсов 2 5 2" xfId="1520"/>
    <cellStyle name="ВедРесурсов 2 6" xfId="1521"/>
    <cellStyle name="ВедРесурсов 2 6 2" xfId="1522"/>
    <cellStyle name="ВедРесурсов 2 7" xfId="1523"/>
    <cellStyle name="ВедРесурсов 2 7 2" xfId="1524"/>
    <cellStyle name="ВедРесурсов 2 8" xfId="1525"/>
    <cellStyle name="ВедРесурсов 2 8 2" xfId="1526"/>
    <cellStyle name="ВедРесурсов 2 9" xfId="1527"/>
    <cellStyle name="ВедРесурсов 2 9 2" xfId="1528"/>
    <cellStyle name="ВедРесурсов 20" xfId="1529"/>
    <cellStyle name="ВедРесурсов 3" xfId="1530"/>
    <cellStyle name="ВедРесурсов 3 10" xfId="1531"/>
    <cellStyle name="ВедРесурсов 3 10 2" xfId="1532"/>
    <cellStyle name="ВедРесурсов 3 11" xfId="1533"/>
    <cellStyle name="ВедРесурсов 3 11 2" xfId="1534"/>
    <cellStyle name="ВедРесурсов 3 12" xfId="1535"/>
    <cellStyle name="ВедРесурсов 3 12 2" xfId="1536"/>
    <cellStyle name="ВедРесурсов 3 13" xfId="1537"/>
    <cellStyle name="ВедРесурсов 3 13 2" xfId="1538"/>
    <cellStyle name="ВедРесурсов 3 14" xfId="1539"/>
    <cellStyle name="ВедРесурсов 3 14 2" xfId="1540"/>
    <cellStyle name="ВедРесурсов 3 15" xfId="1541"/>
    <cellStyle name="ВедРесурсов 3 15 2" xfId="1542"/>
    <cellStyle name="ВедРесурсов 3 16" xfId="1543"/>
    <cellStyle name="ВедРесурсов 3 16 2" xfId="1544"/>
    <cellStyle name="ВедРесурсов 3 17" xfId="1545"/>
    <cellStyle name="ВедРесурсов 3 17 2" xfId="1546"/>
    <cellStyle name="ВедРесурсов 3 18" xfId="1547"/>
    <cellStyle name="ВедРесурсов 3 18 2" xfId="1548"/>
    <cellStyle name="ВедРесурсов 3 19" xfId="1549"/>
    <cellStyle name="ВедРесурсов 3 2" xfId="1550"/>
    <cellStyle name="ВедРесурсов 3 2 2" xfId="1551"/>
    <cellStyle name="ВедРесурсов 3 3" xfId="1552"/>
    <cellStyle name="ВедРесурсов 3 3 2" xfId="1553"/>
    <cellStyle name="ВедРесурсов 3 4" xfId="1554"/>
    <cellStyle name="ВедРесурсов 3 4 2" xfId="1555"/>
    <cellStyle name="ВедРесурсов 3 5" xfId="1556"/>
    <cellStyle name="ВедРесурсов 3 5 2" xfId="1557"/>
    <cellStyle name="ВедРесурсов 3 6" xfId="1558"/>
    <cellStyle name="ВедРесурсов 3 6 2" xfId="1559"/>
    <cellStyle name="ВедРесурсов 3 7" xfId="1560"/>
    <cellStyle name="ВедРесурсов 3 7 2" xfId="1561"/>
    <cellStyle name="ВедРесурсов 3 8" xfId="1562"/>
    <cellStyle name="ВедРесурсов 3 8 2" xfId="1563"/>
    <cellStyle name="ВедРесурсов 3 9" xfId="1564"/>
    <cellStyle name="ВедРесурсов 3 9 2" xfId="1565"/>
    <cellStyle name="ВедРесурсов 4" xfId="1566"/>
    <cellStyle name="ВедРесурсов 4 10" xfId="1567"/>
    <cellStyle name="ВедРесурсов 4 10 2" xfId="1568"/>
    <cellStyle name="ВедРесурсов 4 11" xfId="1569"/>
    <cellStyle name="ВедРесурсов 4 11 2" xfId="1570"/>
    <cellStyle name="ВедРесурсов 4 12" xfId="1571"/>
    <cellStyle name="ВедРесурсов 4 12 2" xfId="1572"/>
    <cellStyle name="ВедРесурсов 4 13" xfId="1573"/>
    <cellStyle name="ВедРесурсов 4 13 2" xfId="1574"/>
    <cellStyle name="ВедРесурсов 4 14" xfId="1575"/>
    <cellStyle name="ВедРесурсов 4 14 2" xfId="1576"/>
    <cellStyle name="ВедРесурсов 4 15" xfId="1577"/>
    <cellStyle name="ВедРесурсов 4 15 2" xfId="1578"/>
    <cellStyle name="ВедРесурсов 4 16" xfId="1579"/>
    <cellStyle name="ВедРесурсов 4 16 2" xfId="1580"/>
    <cellStyle name="ВедРесурсов 4 17" xfId="1581"/>
    <cellStyle name="ВедРесурсов 4 17 2" xfId="1582"/>
    <cellStyle name="ВедРесурсов 4 18" xfId="1583"/>
    <cellStyle name="ВедРесурсов 4 18 2" xfId="1584"/>
    <cellStyle name="ВедРесурсов 4 19" xfId="1585"/>
    <cellStyle name="ВедРесурсов 4 2" xfId="1586"/>
    <cellStyle name="ВедРесурсов 4 2 2" xfId="1587"/>
    <cellStyle name="ВедРесурсов 4 3" xfId="1588"/>
    <cellStyle name="ВедРесурсов 4 3 2" xfId="1589"/>
    <cellStyle name="ВедРесурсов 4 4" xfId="1590"/>
    <cellStyle name="ВедРесурсов 4 4 2" xfId="1591"/>
    <cellStyle name="ВедРесурсов 4 5" xfId="1592"/>
    <cellStyle name="ВедРесурсов 4 5 2" xfId="1593"/>
    <cellStyle name="ВедРесурсов 4 6" xfId="1594"/>
    <cellStyle name="ВедРесурсов 4 6 2" xfId="1595"/>
    <cellStyle name="ВедРесурсов 4 7" xfId="1596"/>
    <cellStyle name="ВедРесурсов 4 7 2" xfId="1597"/>
    <cellStyle name="ВедРесурсов 4 8" xfId="1598"/>
    <cellStyle name="ВедРесурсов 4 8 2" xfId="1599"/>
    <cellStyle name="ВедРесурсов 4 9" xfId="1600"/>
    <cellStyle name="ВедРесурсов 4 9 2" xfId="1601"/>
    <cellStyle name="ВедРесурсов 5" xfId="1602"/>
    <cellStyle name="ВедРесурсов 5 2" xfId="1603"/>
    <cellStyle name="ВедРесурсов 6" xfId="1604"/>
    <cellStyle name="ВедРесурсов 6 2" xfId="1605"/>
    <cellStyle name="ВедРесурсов 7" xfId="1606"/>
    <cellStyle name="ВедРесурсов 7 2" xfId="1607"/>
    <cellStyle name="ВедРесурсов 8" xfId="1608"/>
    <cellStyle name="ВедРесурсов 8 2" xfId="1609"/>
    <cellStyle name="ВедРесурсов 9" xfId="1610"/>
    <cellStyle name="ВедРесурсов 9 2" xfId="1611"/>
    <cellStyle name="Вывод 10" xfId="1612"/>
    <cellStyle name="Вывод 10 2" xfId="1613"/>
    <cellStyle name="Вывод 10 2 10" xfId="1614"/>
    <cellStyle name="Вывод 10 2 11" xfId="1615"/>
    <cellStyle name="Вывод 10 2 12" xfId="1616"/>
    <cellStyle name="Вывод 10 2 13" xfId="1617"/>
    <cellStyle name="Вывод 10 2 14" xfId="1618"/>
    <cellStyle name="Вывод 10 2 15" xfId="1619"/>
    <cellStyle name="Вывод 10 2 16" xfId="1620"/>
    <cellStyle name="Вывод 10 2 17" xfId="1621"/>
    <cellStyle name="Вывод 10 2 18" xfId="1622"/>
    <cellStyle name="Вывод 10 2 2" xfId="1623"/>
    <cellStyle name="Вывод 10 2 3" xfId="1624"/>
    <cellStyle name="Вывод 10 2 4" xfId="1625"/>
    <cellStyle name="Вывод 10 2 5" xfId="1626"/>
    <cellStyle name="Вывод 10 2 6" xfId="1627"/>
    <cellStyle name="Вывод 10 2 7" xfId="1628"/>
    <cellStyle name="Вывод 10 2 8" xfId="1629"/>
    <cellStyle name="Вывод 10 2 9" xfId="1630"/>
    <cellStyle name="Вывод 11" xfId="1631"/>
    <cellStyle name="Вывод 2" xfId="1632"/>
    <cellStyle name="Вывод 2 2" xfId="1633"/>
    <cellStyle name="Вывод 2 2 10" xfId="1634"/>
    <cellStyle name="Вывод 2 2 11" xfId="1635"/>
    <cellStyle name="Вывод 2 2 12" xfId="1636"/>
    <cellStyle name="Вывод 2 2 13" xfId="1637"/>
    <cellStyle name="Вывод 2 2 14" xfId="1638"/>
    <cellStyle name="Вывод 2 2 15" xfId="1639"/>
    <cellStyle name="Вывод 2 2 16" xfId="1640"/>
    <cellStyle name="Вывод 2 2 17" xfId="1641"/>
    <cellStyle name="Вывод 2 2 18" xfId="1642"/>
    <cellStyle name="Вывод 2 2 2" xfId="1643"/>
    <cellStyle name="Вывод 2 2 3" xfId="1644"/>
    <cellStyle name="Вывод 2 2 4" xfId="1645"/>
    <cellStyle name="Вывод 2 2 5" xfId="1646"/>
    <cellStyle name="Вывод 2 2 6" xfId="1647"/>
    <cellStyle name="Вывод 2 2 7" xfId="1648"/>
    <cellStyle name="Вывод 2 2 8" xfId="1649"/>
    <cellStyle name="Вывод 2 2 9" xfId="1650"/>
    <cellStyle name="Вывод 3" xfId="1651"/>
    <cellStyle name="Вывод 3 2" xfId="1652"/>
    <cellStyle name="Вывод 3 2 10" xfId="1653"/>
    <cellStyle name="Вывод 3 2 11" xfId="1654"/>
    <cellStyle name="Вывод 3 2 12" xfId="1655"/>
    <cellStyle name="Вывод 3 2 13" xfId="1656"/>
    <cellStyle name="Вывод 3 2 14" xfId="1657"/>
    <cellStyle name="Вывод 3 2 15" xfId="1658"/>
    <cellStyle name="Вывод 3 2 16" xfId="1659"/>
    <cellStyle name="Вывод 3 2 17" xfId="1660"/>
    <cellStyle name="Вывод 3 2 18" xfId="1661"/>
    <cellStyle name="Вывод 3 2 2" xfId="1662"/>
    <cellStyle name="Вывод 3 2 3" xfId="1663"/>
    <cellStyle name="Вывод 3 2 4" xfId="1664"/>
    <cellStyle name="Вывод 3 2 5" xfId="1665"/>
    <cellStyle name="Вывод 3 2 6" xfId="1666"/>
    <cellStyle name="Вывод 3 2 7" xfId="1667"/>
    <cellStyle name="Вывод 3 2 8" xfId="1668"/>
    <cellStyle name="Вывод 3 2 9" xfId="1669"/>
    <cellStyle name="Вывод 4" xfId="1670"/>
    <cellStyle name="Вывод 4 2" xfId="1671"/>
    <cellStyle name="Вывод 4 2 10" xfId="1672"/>
    <cellStyle name="Вывод 4 2 11" xfId="1673"/>
    <cellStyle name="Вывод 4 2 12" xfId="1674"/>
    <cellStyle name="Вывод 4 2 13" xfId="1675"/>
    <cellStyle name="Вывод 4 2 14" xfId="1676"/>
    <cellStyle name="Вывод 4 2 15" xfId="1677"/>
    <cellStyle name="Вывод 4 2 16" xfId="1678"/>
    <cellStyle name="Вывод 4 2 17" xfId="1679"/>
    <cellStyle name="Вывод 4 2 18" xfId="1680"/>
    <cellStyle name="Вывод 4 2 2" xfId="1681"/>
    <cellStyle name="Вывод 4 2 3" xfId="1682"/>
    <cellStyle name="Вывод 4 2 4" xfId="1683"/>
    <cellStyle name="Вывод 4 2 5" xfId="1684"/>
    <cellStyle name="Вывод 4 2 6" xfId="1685"/>
    <cellStyle name="Вывод 4 2 7" xfId="1686"/>
    <cellStyle name="Вывод 4 2 8" xfId="1687"/>
    <cellStyle name="Вывод 4 2 9" xfId="1688"/>
    <cellStyle name="Вывод 5" xfId="1689"/>
    <cellStyle name="Вывод 5 2" xfId="1690"/>
    <cellStyle name="Вывод 5 2 10" xfId="1691"/>
    <cellStyle name="Вывод 5 2 11" xfId="1692"/>
    <cellStyle name="Вывод 5 2 12" xfId="1693"/>
    <cellStyle name="Вывод 5 2 13" xfId="1694"/>
    <cellStyle name="Вывод 5 2 14" xfId="1695"/>
    <cellStyle name="Вывод 5 2 15" xfId="1696"/>
    <cellStyle name="Вывод 5 2 16" xfId="1697"/>
    <cellStyle name="Вывод 5 2 17" xfId="1698"/>
    <cellStyle name="Вывод 5 2 18" xfId="1699"/>
    <cellStyle name="Вывод 5 2 2" xfId="1700"/>
    <cellStyle name="Вывод 5 2 3" xfId="1701"/>
    <cellStyle name="Вывод 5 2 4" xfId="1702"/>
    <cellStyle name="Вывод 5 2 5" xfId="1703"/>
    <cellStyle name="Вывод 5 2 6" xfId="1704"/>
    <cellStyle name="Вывод 5 2 7" xfId="1705"/>
    <cellStyle name="Вывод 5 2 8" xfId="1706"/>
    <cellStyle name="Вывод 5 2 9" xfId="1707"/>
    <cellStyle name="Вывод 6" xfId="1708"/>
    <cellStyle name="Вывод 6 2" xfId="1709"/>
    <cellStyle name="Вывод 6 2 10" xfId="1710"/>
    <cellStyle name="Вывод 6 2 11" xfId="1711"/>
    <cellStyle name="Вывод 6 2 12" xfId="1712"/>
    <cellStyle name="Вывод 6 2 13" xfId="1713"/>
    <cellStyle name="Вывод 6 2 14" xfId="1714"/>
    <cellStyle name="Вывод 6 2 15" xfId="1715"/>
    <cellStyle name="Вывод 6 2 16" xfId="1716"/>
    <cellStyle name="Вывод 6 2 17" xfId="1717"/>
    <cellStyle name="Вывод 6 2 18" xfId="1718"/>
    <cellStyle name="Вывод 6 2 2" xfId="1719"/>
    <cellStyle name="Вывод 6 2 3" xfId="1720"/>
    <cellStyle name="Вывод 6 2 4" xfId="1721"/>
    <cellStyle name="Вывод 6 2 5" xfId="1722"/>
    <cellStyle name="Вывод 6 2 6" xfId="1723"/>
    <cellStyle name="Вывод 6 2 7" xfId="1724"/>
    <cellStyle name="Вывод 6 2 8" xfId="1725"/>
    <cellStyle name="Вывод 6 2 9" xfId="1726"/>
    <cellStyle name="Вывод 7" xfId="1727"/>
    <cellStyle name="Вывод 7 2" xfId="1728"/>
    <cellStyle name="Вывод 7 2 10" xfId="1729"/>
    <cellStyle name="Вывод 7 2 11" xfId="1730"/>
    <cellStyle name="Вывод 7 2 12" xfId="1731"/>
    <cellStyle name="Вывод 7 2 13" xfId="1732"/>
    <cellStyle name="Вывод 7 2 14" xfId="1733"/>
    <cellStyle name="Вывод 7 2 15" xfId="1734"/>
    <cellStyle name="Вывод 7 2 16" xfId="1735"/>
    <cellStyle name="Вывод 7 2 17" xfId="1736"/>
    <cellStyle name="Вывод 7 2 18" xfId="1737"/>
    <cellStyle name="Вывод 7 2 2" xfId="1738"/>
    <cellStyle name="Вывод 7 2 3" xfId="1739"/>
    <cellStyle name="Вывод 7 2 4" xfId="1740"/>
    <cellStyle name="Вывод 7 2 5" xfId="1741"/>
    <cellStyle name="Вывод 7 2 6" xfId="1742"/>
    <cellStyle name="Вывод 7 2 7" xfId="1743"/>
    <cellStyle name="Вывод 7 2 8" xfId="1744"/>
    <cellStyle name="Вывод 7 2 9" xfId="1745"/>
    <cellStyle name="Вывод 8" xfId="1746"/>
    <cellStyle name="Вывод 8 2" xfId="1747"/>
    <cellStyle name="Вывод 8 2 10" xfId="1748"/>
    <cellStyle name="Вывод 8 2 11" xfId="1749"/>
    <cellStyle name="Вывод 8 2 12" xfId="1750"/>
    <cellStyle name="Вывод 8 2 13" xfId="1751"/>
    <cellStyle name="Вывод 8 2 14" xfId="1752"/>
    <cellStyle name="Вывод 8 2 15" xfId="1753"/>
    <cellStyle name="Вывод 8 2 16" xfId="1754"/>
    <cellStyle name="Вывод 8 2 17" xfId="1755"/>
    <cellStyle name="Вывод 8 2 18" xfId="1756"/>
    <cellStyle name="Вывод 8 2 2" xfId="1757"/>
    <cellStyle name="Вывод 8 2 3" xfId="1758"/>
    <cellStyle name="Вывод 8 2 4" xfId="1759"/>
    <cellStyle name="Вывод 8 2 5" xfId="1760"/>
    <cellStyle name="Вывод 8 2 6" xfId="1761"/>
    <cellStyle name="Вывод 8 2 7" xfId="1762"/>
    <cellStyle name="Вывод 8 2 8" xfId="1763"/>
    <cellStyle name="Вывод 8 2 9" xfId="1764"/>
    <cellStyle name="Вывод 9" xfId="1765"/>
    <cellStyle name="Вывод 9 2" xfId="1766"/>
    <cellStyle name="Вывод 9 2 10" xfId="1767"/>
    <cellStyle name="Вывод 9 2 11" xfId="1768"/>
    <cellStyle name="Вывод 9 2 12" xfId="1769"/>
    <cellStyle name="Вывод 9 2 13" xfId="1770"/>
    <cellStyle name="Вывод 9 2 14" xfId="1771"/>
    <cellStyle name="Вывод 9 2 15" xfId="1772"/>
    <cellStyle name="Вывод 9 2 16" xfId="1773"/>
    <cellStyle name="Вывод 9 2 17" xfId="1774"/>
    <cellStyle name="Вывод 9 2 18" xfId="1775"/>
    <cellStyle name="Вывод 9 2 2" xfId="1776"/>
    <cellStyle name="Вывод 9 2 3" xfId="1777"/>
    <cellStyle name="Вывод 9 2 4" xfId="1778"/>
    <cellStyle name="Вывод 9 2 5" xfId="1779"/>
    <cellStyle name="Вывод 9 2 6" xfId="1780"/>
    <cellStyle name="Вывод 9 2 7" xfId="1781"/>
    <cellStyle name="Вывод 9 2 8" xfId="1782"/>
    <cellStyle name="Вывод 9 2 9" xfId="1783"/>
    <cellStyle name="Вычисление 10" xfId="1784"/>
    <cellStyle name="Вычисление 10 10" xfId="1785"/>
    <cellStyle name="Вычисление 10 11" xfId="1786"/>
    <cellStyle name="Вычисление 10 12" xfId="1787"/>
    <cellStyle name="Вычисление 10 13" xfId="1788"/>
    <cellStyle name="Вычисление 10 14" xfId="1789"/>
    <cellStyle name="Вычисление 10 15" xfId="1790"/>
    <cellStyle name="Вычисление 10 16" xfId="1791"/>
    <cellStyle name="Вычисление 10 17" xfId="1792"/>
    <cellStyle name="Вычисление 10 18" xfId="1793"/>
    <cellStyle name="Вычисление 10 2" xfId="1794"/>
    <cellStyle name="Вычисление 10 2 10" xfId="1795"/>
    <cellStyle name="Вычисление 10 2 11" xfId="1796"/>
    <cellStyle name="Вычисление 10 2 12" xfId="1797"/>
    <cellStyle name="Вычисление 10 2 13" xfId="1798"/>
    <cellStyle name="Вычисление 10 2 14" xfId="1799"/>
    <cellStyle name="Вычисление 10 2 15" xfId="1800"/>
    <cellStyle name="Вычисление 10 2 16" xfId="1801"/>
    <cellStyle name="Вычисление 10 2 17" xfId="1802"/>
    <cellStyle name="Вычисление 10 2 18" xfId="1803"/>
    <cellStyle name="Вычисление 10 2 2" xfId="1804"/>
    <cellStyle name="Вычисление 10 2 3" xfId="1805"/>
    <cellStyle name="Вычисление 10 2 4" xfId="1806"/>
    <cellStyle name="Вычисление 10 2 5" xfId="1807"/>
    <cellStyle name="Вычисление 10 2 6" xfId="1808"/>
    <cellStyle name="Вычисление 10 2 7" xfId="1809"/>
    <cellStyle name="Вычисление 10 2 8" xfId="1810"/>
    <cellStyle name="Вычисление 10 2 9" xfId="1811"/>
    <cellStyle name="Вычисление 10 3" xfId="1812"/>
    <cellStyle name="Вычисление 10 3 10" xfId="1813"/>
    <cellStyle name="Вычисление 10 3 11" xfId="1814"/>
    <cellStyle name="Вычисление 10 3 12" xfId="1815"/>
    <cellStyle name="Вычисление 10 3 13" xfId="1816"/>
    <cellStyle name="Вычисление 10 3 14" xfId="1817"/>
    <cellStyle name="Вычисление 10 3 15" xfId="1818"/>
    <cellStyle name="Вычисление 10 3 16" xfId="1819"/>
    <cellStyle name="Вычисление 10 3 17" xfId="1820"/>
    <cellStyle name="Вычисление 10 3 18" xfId="1821"/>
    <cellStyle name="Вычисление 10 3 2" xfId="1822"/>
    <cellStyle name="Вычисление 10 3 3" xfId="1823"/>
    <cellStyle name="Вычисление 10 3 4" xfId="1824"/>
    <cellStyle name="Вычисление 10 3 5" xfId="1825"/>
    <cellStyle name="Вычисление 10 3 6" xfId="1826"/>
    <cellStyle name="Вычисление 10 3 7" xfId="1827"/>
    <cellStyle name="Вычисление 10 3 8" xfId="1828"/>
    <cellStyle name="Вычисление 10 3 9" xfId="1829"/>
    <cellStyle name="Вычисление 10 4" xfId="1830"/>
    <cellStyle name="Вычисление 10 5" xfId="1831"/>
    <cellStyle name="Вычисление 10 6" xfId="1832"/>
    <cellStyle name="Вычисление 10 7" xfId="1833"/>
    <cellStyle name="Вычисление 10 8" xfId="1834"/>
    <cellStyle name="Вычисление 10 9" xfId="1835"/>
    <cellStyle name="Вычисление 11" xfId="1836"/>
    <cellStyle name="Вычисление 2" xfId="1837"/>
    <cellStyle name="Вычисление 2 10" xfId="1838"/>
    <cellStyle name="Вычисление 2 11" xfId="1839"/>
    <cellStyle name="Вычисление 2 12" xfId="1840"/>
    <cellStyle name="Вычисление 2 13" xfId="1841"/>
    <cellStyle name="Вычисление 2 14" xfId="1842"/>
    <cellStyle name="Вычисление 2 15" xfId="1843"/>
    <cellStyle name="Вычисление 2 16" xfId="1844"/>
    <cellStyle name="Вычисление 2 17" xfId="1845"/>
    <cellStyle name="Вычисление 2 18" xfId="1846"/>
    <cellStyle name="Вычисление 2 2" xfId="1847"/>
    <cellStyle name="Вычисление 2 2 10" xfId="1848"/>
    <cellStyle name="Вычисление 2 2 11" xfId="1849"/>
    <cellStyle name="Вычисление 2 2 12" xfId="1850"/>
    <cellStyle name="Вычисление 2 2 13" xfId="1851"/>
    <cellStyle name="Вычисление 2 2 14" xfId="1852"/>
    <cellStyle name="Вычисление 2 2 15" xfId="1853"/>
    <cellStyle name="Вычисление 2 2 16" xfId="1854"/>
    <cellStyle name="Вычисление 2 2 17" xfId="1855"/>
    <cellStyle name="Вычисление 2 2 18" xfId="1856"/>
    <cellStyle name="Вычисление 2 2 2" xfId="1857"/>
    <cellStyle name="Вычисление 2 2 3" xfId="1858"/>
    <cellStyle name="Вычисление 2 2 4" xfId="1859"/>
    <cellStyle name="Вычисление 2 2 5" xfId="1860"/>
    <cellStyle name="Вычисление 2 2 6" xfId="1861"/>
    <cellStyle name="Вычисление 2 2 7" xfId="1862"/>
    <cellStyle name="Вычисление 2 2 8" xfId="1863"/>
    <cellStyle name="Вычисление 2 2 9" xfId="1864"/>
    <cellStyle name="Вычисление 2 3" xfId="1865"/>
    <cellStyle name="Вычисление 2 3 10" xfId="1866"/>
    <cellStyle name="Вычисление 2 3 11" xfId="1867"/>
    <cellStyle name="Вычисление 2 3 12" xfId="1868"/>
    <cellStyle name="Вычисление 2 3 13" xfId="1869"/>
    <cellStyle name="Вычисление 2 3 14" xfId="1870"/>
    <cellStyle name="Вычисление 2 3 15" xfId="1871"/>
    <cellStyle name="Вычисление 2 3 16" xfId="1872"/>
    <cellStyle name="Вычисление 2 3 17" xfId="1873"/>
    <cellStyle name="Вычисление 2 3 18" xfId="1874"/>
    <cellStyle name="Вычисление 2 3 2" xfId="1875"/>
    <cellStyle name="Вычисление 2 3 3" xfId="1876"/>
    <cellStyle name="Вычисление 2 3 4" xfId="1877"/>
    <cellStyle name="Вычисление 2 3 5" xfId="1878"/>
    <cellStyle name="Вычисление 2 3 6" xfId="1879"/>
    <cellStyle name="Вычисление 2 3 7" xfId="1880"/>
    <cellStyle name="Вычисление 2 3 8" xfId="1881"/>
    <cellStyle name="Вычисление 2 3 9" xfId="1882"/>
    <cellStyle name="Вычисление 2 4" xfId="1883"/>
    <cellStyle name="Вычисление 2 5" xfId="1884"/>
    <cellStyle name="Вычисление 2 6" xfId="1885"/>
    <cellStyle name="Вычисление 2 7" xfId="1886"/>
    <cellStyle name="Вычисление 2 8" xfId="1887"/>
    <cellStyle name="Вычисление 2 9" xfId="1888"/>
    <cellStyle name="Вычисление 3" xfId="1889"/>
    <cellStyle name="Вычисление 3 10" xfId="1890"/>
    <cellStyle name="Вычисление 3 11" xfId="1891"/>
    <cellStyle name="Вычисление 3 12" xfId="1892"/>
    <cellStyle name="Вычисление 3 13" xfId="1893"/>
    <cellStyle name="Вычисление 3 14" xfId="1894"/>
    <cellStyle name="Вычисление 3 15" xfId="1895"/>
    <cellStyle name="Вычисление 3 16" xfId="1896"/>
    <cellStyle name="Вычисление 3 17" xfId="1897"/>
    <cellStyle name="Вычисление 3 18" xfId="1898"/>
    <cellStyle name="Вычисление 3 2" xfId="1899"/>
    <cellStyle name="Вычисление 3 2 10" xfId="1900"/>
    <cellStyle name="Вычисление 3 2 11" xfId="1901"/>
    <cellStyle name="Вычисление 3 2 12" xfId="1902"/>
    <cellStyle name="Вычисление 3 2 13" xfId="1903"/>
    <cellStyle name="Вычисление 3 2 14" xfId="1904"/>
    <cellStyle name="Вычисление 3 2 15" xfId="1905"/>
    <cellStyle name="Вычисление 3 2 16" xfId="1906"/>
    <cellStyle name="Вычисление 3 2 17" xfId="1907"/>
    <cellStyle name="Вычисление 3 2 18" xfId="1908"/>
    <cellStyle name="Вычисление 3 2 2" xfId="1909"/>
    <cellStyle name="Вычисление 3 2 3" xfId="1910"/>
    <cellStyle name="Вычисление 3 2 4" xfId="1911"/>
    <cellStyle name="Вычисление 3 2 5" xfId="1912"/>
    <cellStyle name="Вычисление 3 2 6" xfId="1913"/>
    <cellStyle name="Вычисление 3 2 7" xfId="1914"/>
    <cellStyle name="Вычисление 3 2 8" xfId="1915"/>
    <cellStyle name="Вычисление 3 2 9" xfId="1916"/>
    <cellStyle name="Вычисление 3 3" xfId="1917"/>
    <cellStyle name="Вычисление 3 3 10" xfId="1918"/>
    <cellStyle name="Вычисление 3 3 11" xfId="1919"/>
    <cellStyle name="Вычисление 3 3 12" xfId="1920"/>
    <cellStyle name="Вычисление 3 3 13" xfId="1921"/>
    <cellStyle name="Вычисление 3 3 14" xfId="1922"/>
    <cellStyle name="Вычисление 3 3 15" xfId="1923"/>
    <cellStyle name="Вычисление 3 3 16" xfId="1924"/>
    <cellStyle name="Вычисление 3 3 17" xfId="1925"/>
    <cellStyle name="Вычисление 3 3 18" xfId="1926"/>
    <cellStyle name="Вычисление 3 3 2" xfId="1927"/>
    <cellStyle name="Вычисление 3 3 3" xfId="1928"/>
    <cellStyle name="Вычисление 3 3 4" xfId="1929"/>
    <cellStyle name="Вычисление 3 3 5" xfId="1930"/>
    <cellStyle name="Вычисление 3 3 6" xfId="1931"/>
    <cellStyle name="Вычисление 3 3 7" xfId="1932"/>
    <cellStyle name="Вычисление 3 3 8" xfId="1933"/>
    <cellStyle name="Вычисление 3 3 9" xfId="1934"/>
    <cellStyle name="Вычисление 3 4" xfId="1935"/>
    <cellStyle name="Вычисление 3 5" xfId="1936"/>
    <cellStyle name="Вычисление 3 6" xfId="1937"/>
    <cellStyle name="Вычисление 3 7" xfId="1938"/>
    <cellStyle name="Вычисление 3 8" xfId="1939"/>
    <cellStyle name="Вычисление 3 9" xfId="1940"/>
    <cellStyle name="Вычисление 4" xfId="1941"/>
    <cellStyle name="Вычисление 4 10" xfId="1942"/>
    <cellStyle name="Вычисление 4 11" xfId="1943"/>
    <cellStyle name="Вычисление 4 12" xfId="1944"/>
    <cellStyle name="Вычисление 4 13" xfId="1945"/>
    <cellStyle name="Вычисление 4 14" xfId="1946"/>
    <cellStyle name="Вычисление 4 15" xfId="1947"/>
    <cellStyle name="Вычисление 4 16" xfId="1948"/>
    <cellStyle name="Вычисление 4 17" xfId="1949"/>
    <cellStyle name="Вычисление 4 18" xfId="1950"/>
    <cellStyle name="Вычисление 4 2" xfId="1951"/>
    <cellStyle name="Вычисление 4 2 10" xfId="1952"/>
    <cellStyle name="Вычисление 4 2 11" xfId="1953"/>
    <cellStyle name="Вычисление 4 2 12" xfId="1954"/>
    <cellStyle name="Вычисление 4 2 13" xfId="1955"/>
    <cellStyle name="Вычисление 4 2 14" xfId="1956"/>
    <cellStyle name="Вычисление 4 2 15" xfId="1957"/>
    <cellStyle name="Вычисление 4 2 16" xfId="1958"/>
    <cellStyle name="Вычисление 4 2 17" xfId="1959"/>
    <cellStyle name="Вычисление 4 2 18" xfId="1960"/>
    <cellStyle name="Вычисление 4 2 2" xfId="1961"/>
    <cellStyle name="Вычисление 4 2 3" xfId="1962"/>
    <cellStyle name="Вычисление 4 2 4" xfId="1963"/>
    <cellStyle name="Вычисление 4 2 5" xfId="1964"/>
    <cellStyle name="Вычисление 4 2 6" xfId="1965"/>
    <cellStyle name="Вычисление 4 2 7" xfId="1966"/>
    <cellStyle name="Вычисление 4 2 8" xfId="1967"/>
    <cellStyle name="Вычисление 4 2 9" xfId="1968"/>
    <cellStyle name="Вычисление 4 3" xfId="1969"/>
    <cellStyle name="Вычисление 4 3 10" xfId="1970"/>
    <cellStyle name="Вычисление 4 3 11" xfId="1971"/>
    <cellStyle name="Вычисление 4 3 12" xfId="1972"/>
    <cellStyle name="Вычисление 4 3 13" xfId="1973"/>
    <cellStyle name="Вычисление 4 3 14" xfId="1974"/>
    <cellStyle name="Вычисление 4 3 15" xfId="1975"/>
    <cellStyle name="Вычисление 4 3 16" xfId="1976"/>
    <cellStyle name="Вычисление 4 3 17" xfId="1977"/>
    <cellStyle name="Вычисление 4 3 18" xfId="1978"/>
    <cellStyle name="Вычисление 4 3 2" xfId="1979"/>
    <cellStyle name="Вычисление 4 3 3" xfId="1980"/>
    <cellStyle name="Вычисление 4 3 4" xfId="1981"/>
    <cellStyle name="Вычисление 4 3 5" xfId="1982"/>
    <cellStyle name="Вычисление 4 3 6" xfId="1983"/>
    <cellStyle name="Вычисление 4 3 7" xfId="1984"/>
    <cellStyle name="Вычисление 4 3 8" xfId="1985"/>
    <cellStyle name="Вычисление 4 3 9" xfId="1986"/>
    <cellStyle name="Вычисление 4 4" xfId="1987"/>
    <cellStyle name="Вычисление 4 5" xfId="1988"/>
    <cellStyle name="Вычисление 4 6" xfId="1989"/>
    <cellStyle name="Вычисление 4 7" xfId="1990"/>
    <cellStyle name="Вычисление 4 8" xfId="1991"/>
    <cellStyle name="Вычисление 4 9" xfId="1992"/>
    <cellStyle name="Вычисление 5" xfId="1993"/>
    <cellStyle name="Вычисление 5 10" xfId="1994"/>
    <cellStyle name="Вычисление 5 11" xfId="1995"/>
    <cellStyle name="Вычисление 5 12" xfId="1996"/>
    <cellStyle name="Вычисление 5 13" xfId="1997"/>
    <cellStyle name="Вычисление 5 14" xfId="1998"/>
    <cellStyle name="Вычисление 5 15" xfId="1999"/>
    <cellStyle name="Вычисление 5 16" xfId="2000"/>
    <cellStyle name="Вычисление 5 17" xfId="2001"/>
    <cellStyle name="Вычисление 5 18" xfId="2002"/>
    <cellStyle name="Вычисление 5 2" xfId="2003"/>
    <cellStyle name="Вычисление 5 2 10" xfId="2004"/>
    <cellStyle name="Вычисление 5 2 11" xfId="2005"/>
    <cellStyle name="Вычисление 5 2 12" xfId="2006"/>
    <cellStyle name="Вычисление 5 2 13" xfId="2007"/>
    <cellStyle name="Вычисление 5 2 14" xfId="2008"/>
    <cellStyle name="Вычисление 5 2 15" xfId="2009"/>
    <cellStyle name="Вычисление 5 2 16" xfId="2010"/>
    <cellStyle name="Вычисление 5 2 17" xfId="2011"/>
    <cellStyle name="Вычисление 5 2 18" xfId="2012"/>
    <cellStyle name="Вычисление 5 2 2" xfId="2013"/>
    <cellStyle name="Вычисление 5 2 3" xfId="2014"/>
    <cellStyle name="Вычисление 5 2 4" xfId="2015"/>
    <cellStyle name="Вычисление 5 2 5" xfId="2016"/>
    <cellStyle name="Вычисление 5 2 6" xfId="2017"/>
    <cellStyle name="Вычисление 5 2 7" xfId="2018"/>
    <cellStyle name="Вычисление 5 2 8" xfId="2019"/>
    <cellStyle name="Вычисление 5 2 9" xfId="2020"/>
    <cellStyle name="Вычисление 5 3" xfId="2021"/>
    <cellStyle name="Вычисление 5 3 10" xfId="2022"/>
    <cellStyle name="Вычисление 5 3 11" xfId="2023"/>
    <cellStyle name="Вычисление 5 3 12" xfId="2024"/>
    <cellStyle name="Вычисление 5 3 13" xfId="2025"/>
    <cellStyle name="Вычисление 5 3 14" xfId="2026"/>
    <cellStyle name="Вычисление 5 3 15" xfId="2027"/>
    <cellStyle name="Вычисление 5 3 16" xfId="2028"/>
    <cellStyle name="Вычисление 5 3 17" xfId="2029"/>
    <cellStyle name="Вычисление 5 3 18" xfId="2030"/>
    <cellStyle name="Вычисление 5 3 2" xfId="2031"/>
    <cellStyle name="Вычисление 5 3 3" xfId="2032"/>
    <cellStyle name="Вычисление 5 3 4" xfId="2033"/>
    <cellStyle name="Вычисление 5 3 5" xfId="2034"/>
    <cellStyle name="Вычисление 5 3 6" xfId="2035"/>
    <cellStyle name="Вычисление 5 3 7" xfId="2036"/>
    <cellStyle name="Вычисление 5 3 8" xfId="2037"/>
    <cellStyle name="Вычисление 5 3 9" xfId="2038"/>
    <cellStyle name="Вычисление 5 4" xfId="2039"/>
    <cellStyle name="Вычисление 5 5" xfId="2040"/>
    <cellStyle name="Вычисление 5 6" xfId="2041"/>
    <cellStyle name="Вычисление 5 7" xfId="2042"/>
    <cellStyle name="Вычисление 5 8" xfId="2043"/>
    <cellStyle name="Вычисление 5 9" xfId="2044"/>
    <cellStyle name="Вычисление 6" xfId="2045"/>
    <cellStyle name="Вычисление 6 10" xfId="2046"/>
    <cellStyle name="Вычисление 6 11" xfId="2047"/>
    <cellStyle name="Вычисление 6 12" xfId="2048"/>
    <cellStyle name="Вычисление 6 13" xfId="2049"/>
    <cellStyle name="Вычисление 6 14" xfId="2050"/>
    <cellStyle name="Вычисление 6 15" xfId="2051"/>
    <cellStyle name="Вычисление 6 16" xfId="2052"/>
    <cellStyle name="Вычисление 6 17" xfId="2053"/>
    <cellStyle name="Вычисление 6 18" xfId="2054"/>
    <cellStyle name="Вычисление 6 2" xfId="2055"/>
    <cellStyle name="Вычисление 6 2 10" xfId="2056"/>
    <cellStyle name="Вычисление 6 2 11" xfId="2057"/>
    <cellStyle name="Вычисление 6 2 12" xfId="2058"/>
    <cellStyle name="Вычисление 6 2 13" xfId="2059"/>
    <cellStyle name="Вычисление 6 2 14" xfId="2060"/>
    <cellStyle name="Вычисление 6 2 15" xfId="2061"/>
    <cellStyle name="Вычисление 6 2 16" xfId="2062"/>
    <cellStyle name="Вычисление 6 2 17" xfId="2063"/>
    <cellStyle name="Вычисление 6 2 18" xfId="2064"/>
    <cellStyle name="Вычисление 6 2 2" xfId="2065"/>
    <cellStyle name="Вычисление 6 2 3" xfId="2066"/>
    <cellStyle name="Вычисление 6 2 4" xfId="2067"/>
    <cellStyle name="Вычисление 6 2 5" xfId="2068"/>
    <cellStyle name="Вычисление 6 2 6" xfId="2069"/>
    <cellStyle name="Вычисление 6 2 7" xfId="2070"/>
    <cellStyle name="Вычисление 6 2 8" xfId="2071"/>
    <cellStyle name="Вычисление 6 2 9" xfId="2072"/>
    <cellStyle name="Вычисление 6 3" xfId="2073"/>
    <cellStyle name="Вычисление 6 3 10" xfId="2074"/>
    <cellStyle name="Вычисление 6 3 11" xfId="2075"/>
    <cellStyle name="Вычисление 6 3 12" xfId="2076"/>
    <cellStyle name="Вычисление 6 3 13" xfId="2077"/>
    <cellStyle name="Вычисление 6 3 14" xfId="2078"/>
    <cellStyle name="Вычисление 6 3 15" xfId="2079"/>
    <cellStyle name="Вычисление 6 3 16" xfId="2080"/>
    <cellStyle name="Вычисление 6 3 17" xfId="2081"/>
    <cellStyle name="Вычисление 6 3 18" xfId="2082"/>
    <cellStyle name="Вычисление 6 3 2" xfId="2083"/>
    <cellStyle name="Вычисление 6 3 3" xfId="2084"/>
    <cellStyle name="Вычисление 6 3 4" xfId="2085"/>
    <cellStyle name="Вычисление 6 3 5" xfId="2086"/>
    <cellStyle name="Вычисление 6 3 6" xfId="2087"/>
    <cellStyle name="Вычисление 6 3 7" xfId="2088"/>
    <cellStyle name="Вычисление 6 3 8" xfId="2089"/>
    <cellStyle name="Вычисление 6 3 9" xfId="2090"/>
    <cellStyle name="Вычисление 6 4" xfId="2091"/>
    <cellStyle name="Вычисление 6 5" xfId="2092"/>
    <cellStyle name="Вычисление 6 6" xfId="2093"/>
    <cellStyle name="Вычисление 6 7" xfId="2094"/>
    <cellStyle name="Вычисление 6 8" xfId="2095"/>
    <cellStyle name="Вычисление 6 9" xfId="2096"/>
    <cellStyle name="Вычисление 7" xfId="2097"/>
    <cellStyle name="Вычисление 7 10" xfId="2098"/>
    <cellStyle name="Вычисление 7 11" xfId="2099"/>
    <cellStyle name="Вычисление 7 12" xfId="2100"/>
    <cellStyle name="Вычисление 7 13" xfId="2101"/>
    <cellStyle name="Вычисление 7 14" xfId="2102"/>
    <cellStyle name="Вычисление 7 15" xfId="2103"/>
    <cellStyle name="Вычисление 7 16" xfId="2104"/>
    <cellStyle name="Вычисление 7 17" xfId="2105"/>
    <cellStyle name="Вычисление 7 18" xfId="2106"/>
    <cellStyle name="Вычисление 7 2" xfId="2107"/>
    <cellStyle name="Вычисление 7 2 10" xfId="2108"/>
    <cellStyle name="Вычисление 7 2 11" xfId="2109"/>
    <cellStyle name="Вычисление 7 2 12" xfId="2110"/>
    <cellStyle name="Вычисление 7 2 13" xfId="2111"/>
    <cellStyle name="Вычисление 7 2 14" xfId="2112"/>
    <cellStyle name="Вычисление 7 2 15" xfId="2113"/>
    <cellStyle name="Вычисление 7 2 16" xfId="2114"/>
    <cellStyle name="Вычисление 7 2 17" xfId="2115"/>
    <cellStyle name="Вычисление 7 2 18" xfId="2116"/>
    <cellStyle name="Вычисление 7 2 2" xfId="2117"/>
    <cellStyle name="Вычисление 7 2 3" xfId="2118"/>
    <cellStyle name="Вычисление 7 2 4" xfId="2119"/>
    <cellStyle name="Вычисление 7 2 5" xfId="2120"/>
    <cellStyle name="Вычисление 7 2 6" xfId="2121"/>
    <cellStyle name="Вычисление 7 2 7" xfId="2122"/>
    <cellStyle name="Вычисление 7 2 8" xfId="2123"/>
    <cellStyle name="Вычисление 7 2 9" xfId="2124"/>
    <cellStyle name="Вычисление 7 3" xfId="2125"/>
    <cellStyle name="Вычисление 7 3 10" xfId="2126"/>
    <cellStyle name="Вычисление 7 3 11" xfId="2127"/>
    <cellStyle name="Вычисление 7 3 12" xfId="2128"/>
    <cellStyle name="Вычисление 7 3 13" xfId="2129"/>
    <cellStyle name="Вычисление 7 3 14" xfId="2130"/>
    <cellStyle name="Вычисление 7 3 15" xfId="2131"/>
    <cellStyle name="Вычисление 7 3 16" xfId="2132"/>
    <cellStyle name="Вычисление 7 3 17" xfId="2133"/>
    <cellStyle name="Вычисление 7 3 18" xfId="2134"/>
    <cellStyle name="Вычисление 7 3 2" xfId="2135"/>
    <cellStyle name="Вычисление 7 3 3" xfId="2136"/>
    <cellStyle name="Вычисление 7 3 4" xfId="2137"/>
    <cellStyle name="Вычисление 7 3 5" xfId="2138"/>
    <cellStyle name="Вычисление 7 3 6" xfId="2139"/>
    <cellStyle name="Вычисление 7 3 7" xfId="2140"/>
    <cellStyle name="Вычисление 7 3 8" xfId="2141"/>
    <cellStyle name="Вычисление 7 3 9" xfId="2142"/>
    <cellStyle name="Вычисление 7 4" xfId="2143"/>
    <cellStyle name="Вычисление 7 5" xfId="2144"/>
    <cellStyle name="Вычисление 7 6" xfId="2145"/>
    <cellStyle name="Вычисление 7 7" xfId="2146"/>
    <cellStyle name="Вычисление 7 8" xfId="2147"/>
    <cellStyle name="Вычисление 7 9" xfId="2148"/>
    <cellStyle name="Вычисление 8" xfId="2149"/>
    <cellStyle name="Вычисление 8 10" xfId="2150"/>
    <cellStyle name="Вычисление 8 11" xfId="2151"/>
    <cellStyle name="Вычисление 8 12" xfId="2152"/>
    <cellStyle name="Вычисление 8 13" xfId="2153"/>
    <cellStyle name="Вычисление 8 14" xfId="2154"/>
    <cellStyle name="Вычисление 8 15" xfId="2155"/>
    <cellStyle name="Вычисление 8 16" xfId="2156"/>
    <cellStyle name="Вычисление 8 17" xfId="2157"/>
    <cellStyle name="Вычисление 8 18" xfId="2158"/>
    <cellStyle name="Вычисление 8 2" xfId="2159"/>
    <cellStyle name="Вычисление 8 2 10" xfId="2160"/>
    <cellStyle name="Вычисление 8 2 11" xfId="2161"/>
    <cellStyle name="Вычисление 8 2 12" xfId="2162"/>
    <cellStyle name="Вычисление 8 2 13" xfId="2163"/>
    <cellStyle name="Вычисление 8 2 14" xfId="2164"/>
    <cellStyle name="Вычисление 8 2 15" xfId="2165"/>
    <cellStyle name="Вычисление 8 2 16" xfId="2166"/>
    <cellStyle name="Вычисление 8 2 17" xfId="2167"/>
    <cellStyle name="Вычисление 8 2 18" xfId="2168"/>
    <cellStyle name="Вычисление 8 2 2" xfId="2169"/>
    <cellStyle name="Вычисление 8 2 3" xfId="2170"/>
    <cellStyle name="Вычисление 8 2 4" xfId="2171"/>
    <cellStyle name="Вычисление 8 2 5" xfId="2172"/>
    <cellStyle name="Вычисление 8 2 6" xfId="2173"/>
    <cellStyle name="Вычисление 8 2 7" xfId="2174"/>
    <cellStyle name="Вычисление 8 2 8" xfId="2175"/>
    <cellStyle name="Вычисление 8 2 9" xfId="2176"/>
    <cellStyle name="Вычисление 8 3" xfId="2177"/>
    <cellStyle name="Вычисление 8 3 10" xfId="2178"/>
    <cellStyle name="Вычисление 8 3 11" xfId="2179"/>
    <cellStyle name="Вычисление 8 3 12" xfId="2180"/>
    <cellStyle name="Вычисление 8 3 13" xfId="2181"/>
    <cellStyle name="Вычисление 8 3 14" xfId="2182"/>
    <cellStyle name="Вычисление 8 3 15" xfId="2183"/>
    <cellStyle name="Вычисление 8 3 16" xfId="2184"/>
    <cellStyle name="Вычисление 8 3 17" xfId="2185"/>
    <cellStyle name="Вычисление 8 3 18" xfId="2186"/>
    <cellStyle name="Вычисление 8 3 2" xfId="2187"/>
    <cellStyle name="Вычисление 8 3 3" xfId="2188"/>
    <cellStyle name="Вычисление 8 3 4" xfId="2189"/>
    <cellStyle name="Вычисление 8 3 5" xfId="2190"/>
    <cellStyle name="Вычисление 8 3 6" xfId="2191"/>
    <cellStyle name="Вычисление 8 3 7" xfId="2192"/>
    <cellStyle name="Вычисление 8 3 8" xfId="2193"/>
    <cellStyle name="Вычисление 8 3 9" xfId="2194"/>
    <cellStyle name="Вычисление 8 4" xfId="2195"/>
    <cellStyle name="Вычисление 8 5" xfId="2196"/>
    <cellStyle name="Вычисление 8 6" xfId="2197"/>
    <cellStyle name="Вычисление 8 7" xfId="2198"/>
    <cellStyle name="Вычисление 8 8" xfId="2199"/>
    <cellStyle name="Вычисление 8 9" xfId="2200"/>
    <cellStyle name="Вычисление 9" xfId="2201"/>
    <cellStyle name="Вычисление 9 10" xfId="2202"/>
    <cellStyle name="Вычисление 9 11" xfId="2203"/>
    <cellStyle name="Вычисление 9 12" xfId="2204"/>
    <cellStyle name="Вычисление 9 13" xfId="2205"/>
    <cellStyle name="Вычисление 9 14" xfId="2206"/>
    <cellStyle name="Вычисление 9 15" xfId="2207"/>
    <cellStyle name="Вычисление 9 16" xfId="2208"/>
    <cellStyle name="Вычисление 9 17" xfId="2209"/>
    <cellStyle name="Вычисление 9 18" xfId="2210"/>
    <cellStyle name="Вычисление 9 2" xfId="2211"/>
    <cellStyle name="Вычисление 9 2 10" xfId="2212"/>
    <cellStyle name="Вычисление 9 2 11" xfId="2213"/>
    <cellStyle name="Вычисление 9 2 12" xfId="2214"/>
    <cellStyle name="Вычисление 9 2 13" xfId="2215"/>
    <cellStyle name="Вычисление 9 2 14" xfId="2216"/>
    <cellStyle name="Вычисление 9 2 15" xfId="2217"/>
    <cellStyle name="Вычисление 9 2 16" xfId="2218"/>
    <cellStyle name="Вычисление 9 2 17" xfId="2219"/>
    <cellStyle name="Вычисление 9 2 18" xfId="2220"/>
    <cellStyle name="Вычисление 9 2 2" xfId="2221"/>
    <cellStyle name="Вычисление 9 2 3" xfId="2222"/>
    <cellStyle name="Вычисление 9 2 4" xfId="2223"/>
    <cellStyle name="Вычисление 9 2 5" xfId="2224"/>
    <cellStyle name="Вычисление 9 2 6" xfId="2225"/>
    <cellStyle name="Вычисление 9 2 7" xfId="2226"/>
    <cellStyle name="Вычисление 9 2 8" xfId="2227"/>
    <cellStyle name="Вычисление 9 2 9" xfId="2228"/>
    <cellStyle name="Вычисление 9 3" xfId="2229"/>
    <cellStyle name="Вычисление 9 3 10" xfId="2230"/>
    <cellStyle name="Вычисление 9 3 11" xfId="2231"/>
    <cellStyle name="Вычисление 9 3 12" xfId="2232"/>
    <cellStyle name="Вычисление 9 3 13" xfId="2233"/>
    <cellStyle name="Вычисление 9 3 14" xfId="2234"/>
    <cellStyle name="Вычисление 9 3 15" xfId="2235"/>
    <cellStyle name="Вычисление 9 3 16" xfId="2236"/>
    <cellStyle name="Вычисление 9 3 17" xfId="2237"/>
    <cellStyle name="Вычисление 9 3 18" xfId="2238"/>
    <cellStyle name="Вычисление 9 3 2" xfId="2239"/>
    <cellStyle name="Вычисление 9 3 3" xfId="2240"/>
    <cellStyle name="Вычисление 9 3 4" xfId="2241"/>
    <cellStyle name="Вычисление 9 3 5" xfId="2242"/>
    <cellStyle name="Вычисление 9 3 6" xfId="2243"/>
    <cellStyle name="Вычисление 9 3 7" xfId="2244"/>
    <cellStyle name="Вычисление 9 3 8" xfId="2245"/>
    <cellStyle name="Вычисление 9 3 9" xfId="2246"/>
    <cellStyle name="Вычисление 9 4" xfId="2247"/>
    <cellStyle name="Вычисление 9 5" xfId="2248"/>
    <cellStyle name="Вычисление 9 6" xfId="2249"/>
    <cellStyle name="Вычисление 9 7" xfId="2250"/>
    <cellStyle name="Вычисление 9 8" xfId="2251"/>
    <cellStyle name="Вычисление 9 9" xfId="2252"/>
    <cellStyle name="Гиперссылка 10" xfId="2253"/>
    <cellStyle name="Гиперссылка 100" xfId="2254"/>
    <cellStyle name="Гиперссылка 101" xfId="2255"/>
    <cellStyle name="Гиперссылка 102" xfId="2256"/>
    <cellStyle name="Гиперссылка 103" xfId="2257"/>
    <cellStyle name="Гиперссылка 104" xfId="2258"/>
    <cellStyle name="Гиперссылка 105" xfId="2259"/>
    <cellStyle name="Гиперссылка 106" xfId="2260"/>
    <cellStyle name="Гиперссылка 107" xfId="2261"/>
    <cellStyle name="Гиперссылка 108" xfId="2262"/>
    <cellStyle name="Гиперссылка 109" xfId="2263"/>
    <cellStyle name="Гиперссылка 11" xfId="2264"/>
    <cellStyle name="Гиперссылка 110" xfId="2265"/>
    <cellStyle name="Гиперссылка 111" xfId="2266"/>
    <cellStyle name="Гиперссылка 112" xfId="2267"/>
    <cellStyle name="Гиперссылка 113" xfId="2268"/>
    <cellStyle name="Гиперссылка 114" xfId="2269"/>
    <cellStyle name="Гиперссылка 115" xfId="2270"/>
    <cellStyle name="Гиперссылка 116" xfId="2271"/>
    <cellStyle name="Гиперссылка 117" xfId="2272"/>
    <cellStyle name="Гиперссылка 118" xfId="2273"/>
    <cellStyle name="Гиперссылка 119" xfId="2274"/>
    <cellStyle name="Гиперссылка 12" xfId="2275"/>
    <cellStyle name="Гиперссылка 120" xfId="2276"/>
    <cellStyle name="Гиперссылка 121" xfId="2277"/>
    <cellStyle name="Гиперссылка 122" xfId="2278"/>
    <cellStyle name="Гиперссылка 123" xfId="2279"/>
    <cellStyle name="Гиперссылка 124" xfId="2280"/>
    <cellStyle name="Гиперссылка 125" xfId="2281"/>
    <cellStyle name="Гиперссылка 126" xfId="2282"/>
    <cellStyle name="Гиперссылка 127" xfId="2283"/>
    <cellStyle name="Гиперссылка 128" xfId="2284"/>
    <cellStyle name="Гиперссылка 129" xfId="2285"/>
    <cellStyle name="Гиперссылка 13" xfId="2286"/>
    <cellStyle name="Гиперссылка 130" xfId="2287"/>
    <cellStyle name="Гиперссылка 131" xfId="2288"/>
    <cellStyle name="Гиперссылка 132" xfId="2289"/>
    <cellStyle name="Гиперссылка 133" xfId="2290"/>
    <cellStyle name="Гиперссылка 134" xfId="2291"/>
    <cellStyle name="Гиперссылка 135" xfId="2292"/>
    <cellStyle name="Гиперссылка 136" xfId="2293"/>
    <cellStyle name="Гиперссылка 137" xfId="2294"/>
    <cellStyle name="Гиперссылка 138" xfId="2295"/>
    <cellStyle name="Гиперссылка 139" xfId="2296"/>
    <cellStyle name="Гиперссылка 14" xfId="2297"/>
    <cellStyle name="Гиперссылка 140" xfId="2298"/>
    <cellStyle name="Гиперссылка 141" xfId="2299"/>
    <cellStyle name="Гиперссылка 142" xfId="2300"/>
    <cellStyle name="Гиперссылка 143" xfId="2301"/>
    <cellStyle name="Гиперссылка 144" xfId="2302"/>
    <cellStyle name="Гиперссылка 145" xfId="2303"/>
    <cellStyle name="Гиперссылка 146" xfId="2304"/>
    <cellStyle name="Гиперссылка 147" xfId="2305"/>
    <cellStyle name="Гиперссылка 148" xfId="2306"/>
    <cellStyle name="Гиперссылка 149" xfId="2307"/>
    <cellStyle name="Гиперссылка 15" xfId="2308"/>
    <cellStyle name="Гиперссылка 150" xfId="2309"/>
    <cellStyle name="Гиперссылка 151" xfId="2310"/>
    <cellStyle name="Гиперссылка 152" xfId="2311"/>
    <cellStyle name="Гиперссылка 153" xfId="2312"/>
    <cellStyle name="Гиперссылка 154" xfId="2313"/>
    <cellStyle name="Гиперссылка 155" xfId="2314"/>
    <cellStyle name="Гиперссылка 156" xfId="2315"/>
    <cellStyle name="Гиперссылка 157" xfId="2316"/>
    <cellStyle name="Гиперссылка 158" xfId="2317"/>
    <cellStyle name="Гиперссылка 159" xfId="2318"/>
    <cellStyle name="Гиперссылка 16" xfId="2319"/>
    <cellStyle name="Гиперссылка 160" xfId="2320"/>
    <cellStyle name="Гиперссылка 161" xfId="2321"/>
    <cellStyle name="Гиперссылка 162" xfId="2322"/>
    <cellStyle name="Гиперссылка 163" xfId="2323"/>
    <cellStyle name="Гиперссылка 164" xfId="2324"/>
    <cellStyle name="Гиперссылка 165" xfId="2325"/>
    <cellStyle name="Гиперссылка 166" xfId="2326"/>
    <cellStyle name="Гиперссылка 167" xfId="2327"/>
    <cellStyle name="Гиперссылка 168" xfId="2328"/>
    <cellStyle name="Гиперссылка 169" xfId="2329"/>
    <cellStyle name="Гиперссылка 17" xfId="2330"/>
    <cellStyle name="Гиперссылка 170" xfId="2331"/>
    <cellStyle name="Гиперссылка 171" xfId="2332"/>
    <cellStyle name="Гиперссылка 172" xfId="2333"/>
    <cellStyle name="Гиперссылка 173" xfId="2334"/>
    <cellStyle name="Гиперссылка 174" xfId="2335"/>
    <cellStyle name="Гиперссылка 175" xfId="2336"/>
    <cellStyle name="Гиперссылка 176" xfId="2337"/>
    <cellStyle name="Гиперссылка 177" xfId="2338"/>
    <cellStyle name="Гиперссылка 178" xfId="2339"/>
    <cellStyle name="Гиперссылка 179" xfId="2340"/>
    <cellStyle name="Гиперссылка 18" xfId="2341"/>
    <cellStyle name="Гиперссылка 180" xfId="2342"/>
    <cellStyle name="Гиперссылка 181" xfId="2343"/>
    <cellStyle name="Гиперссылка 182" xfId="2344"/>
    <cellStyle name="Гиперссылка 183" xfId="2345"/>
    <cellStyle name="Гиперссылка 184" xfId="2346"/>
    <cellStyle name="Гиперссылка 185" xfId="2347"/>
    <cellStyle name="Гиперссылка 186" xfId="2348"/>
    <cellStyle name="Гиперссылка 187" xfId="2349"/>
    <cellStyle name="Гиперссылка 188" xfId="2350"/>
    <cellStyle name="Гиперссылка 189" xfId="2351"/>
    <cellStyle name="Гиперссылка 19" xfId="2352"/>
    <cellStyle name="Гиперссылка 190" xfId="2353"/>
    <cellStyle name="Гиперссылка 191" xfId="2354"/>
    <cellStyle name="Гиперссылка 2" xfId="2355"/>
    <cellStyle name="Гиперссылка 20" xfId="2356"/>
    <cellStyle name="Гиперссылка 21" xfId="2357"/>
    <cellStyle name="Гиперссылка 22" xfId="2358"/>
    <cellStyle name="Гиперссылка 23" xfId="2359"/>
    <cellStyle name="Гиперссылка 24" xfId="2360"/>
    <cellStyle name="Гиперссылка 25" xfId="2361"/>
    <cellStyle name="Гиперссылка 26" xfId="2362"/>
    <cellStyle name="Гиперссылка 27" xfId="2363"/>
    <cellStyle name="Гиперссылка 28" xfId="2364"/>
    <cellStyle name="Гиперссылка 29" xfId="2365"/>
    <cellStyle name="Гиперссылка 3" xfId="2366"/>
    <cellStyle name="Гиперссылка 30" xfId="2367"/>
    <cellStyle name="Гиперссылка 31" xfId="2368"/>
    <cellStyle name="Гиперссылка 32" xfId="2369"/>
    <cellStyle name="Гиперссылка 33" xfId="2370"/>
    <cellStyle name="Гиперссылка 34" xfId="2371"/>
    <cellStyle name="Гиперссылка 35" xfId="2372"/>
    <cellStyle name="Гиперссылка 36" xfId="2373"/>
    <cellStyle name="Гиперссылка 37" xfId="2374"/>
    <cellStyle name="Гиперссылка 38" xfId="2375"/>
    <cellStyle name="Гиперссылка 39" xfId="2376"/>
    <cellStyle name="Гиперссылка 4" xfId="2377"/>
    <cellStyle name="Гиперссылка 40" xfId="2378"/>
    <cellStyle name="Гиперссылка 41" xfId="2379"/>
    <cellStyle name="Гиперссылка 42" xfId="2380"/>
    <cellStyle name="Гиперссылка 43" xfId="2381"/>
    <cellStyle name="Гиперссылка 44" xfId="2382"/>
    <cellStyle name="Гиперссылка 45" xfId="2383"/>
    <cellStyle name="Гиперссылка 46" xfId="2384"/>
    <cellStyle name="Гиперссылка 47" xfId="2385"/>
    <cellStyle name="Гиперссылка 48" xfId="2386"/>
    <cellStyle name="Гиперссылка 49" xfId="2387"/>
    <cellStyle name="Гиперссылка 5" xfId="2388"/>
    <cellStyle name="Гиперссылка 50" xfId="2389"/>
    <cellStyle name="Гиперссылка 51" xfId="2390"/>
    <cellStyle name="Гиперссылка 52" xfId="2391"/>
    <cellStyle name="Гиперссылка 53" xfId="2392"/>
    <cellStyle name="Гиперссылка 54" xfId="2393"/>
    <cellStyle name="Гиперссылка 55" xfId="2394"/>
    <cellStyle name="Гиперссылка 56" xfId="2395"/>
    <cellStyle name="Гиперссылка 57" xfId="2396"/>
    <cellStyle name="Гиперссылка 58" xfId="2397"/>
    <cellStyle name="Гиперссылка 59" xfId="2398"/>
    <cellStyle name="Гиперссылка 6" xfId="2399"/>
    <cellStyle name="Гиперссылка 60" xfId="2400"/>
    <cellStyle name="Гиперссылка 61" xfId="2401"/>
    <cellStyle name="Гиперссылка 62" xfId="2402"/>
    <cellStyle name="Гиперссылка 63" xfId="2403"/>
    <cellStyle name="Гиперссылка 64" xfId="2404"/>
    <cellStyle name="Гиперссылка 65" xfId="2405"/>
    <cellStyle name="Гиперссылка 66" xfId="2406"/>
    <cellStyle name="Гиперссылка 67" xfId="2407"/>
    <cellStyle name="Гиперссылка 68" xfId="2408"/>
    <cellStyle name="Гиперссылка 69" xfId="2409"/>
    <cellStyle name="Гиперссылка 7" xfId="2410"/>
    <cellStyle name="Гиперссылка 70" xfId="2411"/>
    <cellStyle name="Гиперссылка 71" xfId="2412"/>
    <cellStyle name="Гиперссылка 72" xfId="2413"/>
    <cellStyle name="Гиперссылка 73" xfId="2414"/>
    <cellStyle name="Гиперссылка 74" xfId="2415"/>
    <cellStyle name="Гиперссылка 75" xfId="2416"/>
    <cellStyle name="Гиперссылка 76" xfId="2417"/>
    <cellStyle name="Гиперссылка 77" xfId="2418"/>
    <cellStyle name="Гиперссылка 78" xfId="2419"/>
    <cellStyle name="Гиперссылка 79" xfId="2420"/>
    <cellStyle name="Гиперссылка 8" xfId="2421"/>
    <cellStyle name="Гиперссылка 80" xfId="2422"/>
    <cellStyle name="Гиперссылка 81" xfId="2423"/>
    <cellStyle name="Гиперссылка 82" xfId="2424"/>
    <cellStyle name="Гиперссылка 83" xfId="2425"/>
    <cellStyle name="Гиперссылка 84" xfId="2426"/>
    <cellStyle name="Гиперссылка 85" xfId="2427"/>
    <cellStyle name="Гиперссылка 86" xfId="2428"/>
    <cellStyle name="Гиперссылка 87" xfId="2429"/>
    <cellStyle name="Гиперссылка 88" xfId="2430"/>
    <cellStyle name="Гиперссылка 89" xfId="2431"/>
    <cellStyle name="Гиперссылка 9" xfId="2432"/>
    <cellStyle name="Гиперссылка 90" xfId="2433"/>
    <cellStyle name="Гиперссылка 91" xfId="2434"/>
    <cellStyle name="Гиперссылка 92" xfId="2435"/>
    <cellStyle name="Гиперссылка 93" xfId="2436"/>
    <cellStyle name="Гиперссылка 94" xfId="2437"/>
    <cellStyle name="Гиперссылка 95" xfId="2438"/>
    <cellStyle name="Гиперссылка 96" xfId="2439"/>
    <cellStyle name="Гиперссылка 97" xfId="2440"/>
    <cellStyle name="Гиперссылка 98" xfId="2441"/>
    <cellStyle name="Гиперссылка 99" xfId="2442"/>
    <cellStyle name="Денежный 2" xfId="2443"/>
    <cellStyle name="Заголовок 1 2" xfId="2444"/>
    <cellStyle name="Заголовок 1 3" xfId="2445"/>
    <cellStyle name="Заголовок 1 4" xfId="2446"/>
    <cellStyle name="Заголовок 2 2" xfId="2447"/>
    <cellStyle name="Заголовок 2 3" xfId="2448"/>
    <cellStyle name="Заголовок 2 4" xfId="2449"/>
    <cellStyle name="Заголовок 3 2" xfId="2450"/>
    <cellStyle name="Заголовок 3 2 2" xfId="2451"/>
    <cellStyle name="Заголовок 3 3" xfId="2452"/>
    <cellStyle name="Заголовок 3 3 2" xfId="2453"/>
    <cellStyle name="Заголовок 3 4" xfId="2454"/>
    <cellStyle name="Заголовок 4 2" xfId="2455"/>
    <cellStyle name="Заголовок 4 3" xfId="2456"/>
    <cellStyle name="Заголовок 4 4" xfId="2457"/>
    <cellStyle name="Итог 2" xfId="2458"/>
    <cellStyle name="Итог 2 10" xfId="2459"/>
    <cellStyle name="Итог 2 11" xfId="2460"/>
    <cellStyle name="Итог 2 12" xfId="2461"/>
    <cellStyle name="Итог 2 13" xfId="2462"/>
    <cellStyle name="Итог 2 14" xfId="2463"/>
    <cellStyle name="Итог 2 15" xfId="2464"/>
    <cellStyle name="Итог 2 2" xfId="2465"/>
    <cellStyle name="Итог 2 2 10" xfId="2466"/>
    <cellStyle name="Итог 2 2 11" xfId="2467"/>
    <cellStyle name="Итог 2 2 12" xfId="2468"/>
    <cellStyle name="Итог 2 2 13" xfId="2469"/>
    <cellStyle name="Итог 2 2 14" xfId="2470"/>
    <cellStyle name="Итог 2 2 15" xfId="2471"/>
    <cellStyle name="Итог 2 2 16" xfId="2472"/>
    <cellStyle name="Итог 2 2 17" xfId="2473"/>
    <cellStyle name="Итог 2 2 18" xfId="2474"/>
    <cellStyle name="Итог 2 2 2" xfId="2475"/>
    <cellStyle name="Итог 2 2 3" xfId="2476"/>
    <cellStyle name="Итог 2 2 4" xfId="2477"/>
    <cellStyle name="Итог 2 2 5" xfId="2478"/>
    <cellStyle name="Итог 2 2 6" xfId="2479"/>
    <cellStyle name="Итог 2 2 7" xfId="2480"/>
    <cellStyle name="Итог 2 2 8" xfId="2481"/>
    <cellStyle name="Итог 2 2 9" xfId="2482"/>
    <cellStyle name="Итог 2 3" xfId="2483"/>
    <cellStyle name="Итог 2 4" xfId="2484"/>
    <cellStyle name="Итог 2 5" xfId="2485"/>
    <cellStyle name="Итог 2 6" xfId="2486"/>
    <cellStyle name="Итог 2 7" xfId="2487"/>
    <cellStyle name="Итог 2 8" xfId="2488"/>
    <cellStyle name="Итог 2 9" xfId="2489"/>
    <cellStyle name="Итог 3" xfId="2490"/>
    <cellStyle name="Итог 3 10" xfId="2491"/>
    <cellStyle name="Итог 3 11" xfId="2492"/>
    <cellStyle name="Итог 3 12" xfId="2493"/>
    <cellStyle name="Итог 3 13" xfId="2494"/>
    <cellStyle name="Итог 3 14" xfId="2495"/>
    <cellStyle name="Итог 3 15" xfId="2496"/>
    <cellStyle name="Итог 3 2" xfId="2497"/>
    <cellStyle name="Итог 3 2 10" xfId="2498"/>
    <cellStyle name="Итог 3 2 11" xfId="2499"/>
    <cellStyle name="Итог 3 2 12" xfId="2500"/>
    <cellStyle name="Итог 3 2 13" xfId="2501"/>
    <cellStyle name="Итог 3 2 14" xfId="2502"/>
    <cellStyle name="Итог 3 2 15" xfId="2503"/>
    <cellStyle name="Итог 3 2 16" xfId="2504"/>
    <cellStyle name="Итог 3 2 17" xfId="2505"/>
    <cellStyle name="Итог 3 2 18" xfId="2506"/>
    <cellStyle name="Итог 3 2 2" xfId="2507"/>
    <cellStyle name="Итог 3 2 3" xfId="2508"/>
    <cellStyle name="Итог 3 2 4" xfId="2509"/>
    <cellStyle name="Итог 3 2 5" xfId="2510"/>
    <cellStyle name="Итог 3 2 6" xfId="2511"/>
    <cellStyle name="Итог 3 2 7" xfId="2512"/>
    <cellStyle name="Итог 3 2 8" xfId="2513"/>
    <cellStyle name="Итог 3 2 9" xfId="2514"/>
    <cellStyle name="Итог 3 3" xfId="2515"/>
    <cellStyle name="Итог 3 4" xfId="2516"/>
    <cellStyle name="Итог 3 5" xfId="2517"/>
    <cellStyle name="Итог 3 6" xfId="2518"/>
    <cellStyle name="Итог 3 7" xfId="2519"/>
    <cellStyle name="Итог 3 8" xfId="2520"/>
    <cellStyle name="Итог 3 9" xfId="2521"/>
    <cellStyle name="Итог 4" xfId="2522"/>
    <cellStyle name="Итоги" xfId="2523"/>
    <cellStyle name="Контрольная ячейка 10" xfId="2524"/>
    <cellStyle name="Контрольная ячейка 11" xfId="2525"/>
    <cellStyle name="Контрольная ячейка 2" xfId="2526"/>
    <cellStyle name="Контрольная ячейка 3" xfId="2527"/>
    <cellStyle name="Контрольная ячейка 4" xfId="2528"/>
    <cellStyle name="Контрольная ячейка 5" xfId="2529"/>
    <cellStyle name="Контрольная ячейка 6" xfId="2530"/>
    <cellStyle name="Контрольная ячейка 7" xfId="2531"/>
    <cellStyle name="Контрольная ячейка 8" xfId="2532"/>
    <cellStyle name="Контрольная ячейка 9" xfId="2533"/>
    <cellStyle name="ЛокСмета" xfId="2534"/>
    <cellStyle name="ЛокСмета 10" xfId="2535"/>
    <cellStyle name="ЛокСмета 10 2" xfId="2536"/>
    <cellStyle name="ЛокСмета 11" xfId="2537"/>
    <cellStyle name="ЛокСмета 11 2" xfId="2538"/>
    <cellStyle name="ЛокСмета 12" xfId="2539"/>
    <cellStyle name="ЛокСмета 12 2" xfId="2540"/>
    <cellStyle name="ЛокСмета 13" xfId="2541"/>
    <cellStyle name="ЛокСмета 13 2" xfId="2542"/>
    <cellStyle name="ЛокСмета 14" xfId="2543"/>
    <cellStyle name="ЛокСмета 14 2" xfId="2544"/>
    <cellStyle name="ЛокСмета 15" xfId="2545"/>
    <cellStyle name="ЛокСмета 15 2" xfId="2546"/>
    <cellStyle name="ЛокСмета 16" xfId="2547"/>
    <cellStyle name="ЛокСмета 16 2" xfId="2548"/>
    <cellStyle name="ЛокСмета 17" xfId="2549"/>
    <cellStyle name="ЛокСмета 17 2" xfId="2550"/>
    <cellStyle name="ЛокСмета 18" xfId="2551"/>
    <cellStyle name="ЛокСмета 18 2" xfId="2552"/>
    <cellStyle name="ЛокСмета 19" xfId="2553"/>
    <cellStyle name="ЛокСмета 19 2" xfId="2554"/>
    <cellStyle name="ЛокСмета 2" xfId="2555"/>
    <cellStyle name="ЛокСмета 2 10" xfId="2556"/>
    <cellStyle name="ЛокСмета 2 10 2" xfId="2557"/>
    <cellStyle name="ЛокСмета 2 11" xfId="2558"/>
    <cellStyle name="ЛокСмета 2 11 2" xfId="2559"/>
    <cellStyle name="ЛокСмета 2 12" xfId="2560"/>
    <cellStyle name="ЛокСмета 2 12 2" xfId="2561"/>
    <cellStyle name="ЛокСмета 2 13" xfId="2562"/>
    <cellStyle name="ЛокСмета 2 13 2" xfId="2563"/>
    <cellStyle name="ЛокСмета 2 14" xfId="2564"/>
    <cellStyle name="ЛокСмета 2 14 2" xfId="2565"/>
    <cellStyle name="ЛокСмета 2 15" xfId="2566"/>
    <cellStyle name="ЛокСмета 2 15 2" xfId="2567"/>
    <cellStyle name="ЛокСмета 2 16" xfId="2568"/>
    <cellStyle name="ЛокСмета 2 16 2" xfId="2569"/>
    <cellStyle name="ЛокСмета 2 17" xfId="2570"/>
    <cellStyle name="ЛокСмета 2 17 2" xfId="2571"/>
    <cellStyle name="ЛокСмета 2 18" xfId="2572"/>
    <cellStyle name="ЛокСмета 2 18 2" xfId="2573"/>
    <cellStyle name="ЛокСмета 2 19" xfId="2574"/>
    <cellStyle name="ЛокСмета 2 2" xfId="2575"/>
    <cellStyle name="ЛокСмета 2 2 2" xfId="2576"/>
    <cellStyle name="ЛокСмета 2 3" xfId="2577"/>
    <cellStyle name="ЛокСмета 2 3 2" xfId="2578"/>
    <cellStyle name="ЛокСмета 2 4" xfId="2579"/>
    <cellStyle name="ЛокСмета 2 4 2" xfId="2580"/>
    <cellStyle name="ЛокСмета 2 5" xfId="2581"/>
    <cellStyle name="ЛокСмета 2 5 2" xfId="2582"/>
    <cellStyle name="ЛокСмета 2 6" xfId="2583"/>
    <cellStyle name="ЛокСмета 2 6 2" xfId="2584"/>
    <cellStyle name="ЛокСмета 2 7" xfId="2585"/>
    <cellStyle name="ЛокСмета 2 7 2" xfId="2586"/>
    <cellStyle name="ЛокСмета 2 8" xfId="2587"/>
    <cellStyle name="ЛокСмета 2 8 2" xfId="2588"/>
    <cellStyle name="ЛокСмета 2 9" xfId="2589"/>
    <cellStyle name="ЛокСмета 2 9 2" xfId="2590"/>
    <cellStyle name="ЛокСмета 20" xfId="2591"/>
    <cellStyle name="ЛокСмета 3" xfId="2592"/>
    <cellStyle name="ЛокСмета 3 10" xfId="2593"/>
    <cellStyle name="ЛокСмета 3 10 2" xfId="2594"/>
    <cellStyle name="ЛокСмета 3 11" xfId="2595"/>
    <cellStyle name="ЛокСмета 3 11 2" xfId="2596"/>
    <cellStyle name="ЛокСмета 3 12" xfId="2597"/>
    <cellStyle name="ЛокСмета 3 12 2" xfId="2598"/>
    <cellStyle name="ЛокСмета 3 13" xfId="2599"/>
    <cellStyle name="ЛокСмета 3 13 2" xfId="2600"/>
    <cellStyle name="ЛокСмета 3 14" xfId="2601"/>
    <cellStyle name="ЛокСмета 3 14 2" xfId="2602"/>
    <cellStyle name="ЛокСмета 3 15" xfId="2603"/>
    <cellStyle name="ЛокСмета 3 15 2" xfId="2604"/>
    <cellStyle name="ЛокСмета 3 16" xfId="2605"/>
    <cellStyle name="ЛокСмета 3 16 2" xfId="2606"/>
    <cellStyle name="ЛокСмета 3 17" xfId="2607"/>
    <cellStyle name="ЛокСмета 3 17 2" xfId="2608"/>
    <cellStyle name="ЛокСмета 3 18" xfId="2609"/>
    <cellStyle name="ЛокСмета 3 18 2" xfId="2610"/>
    <cellStyle name="ЛокСмета 3 19" xfId="2611"/>
    <cellStyle name="ЛокСмета 3 2" xfId="2612"/>
    <cellStyle name="ЛокСмета 3 2 2" xfId="2613"/>
    <cellStyle name="ЛокСмета 3 3" xfId="2614"/>
    <cellStyle name="ЛокСмета 3 3 2" xfId="2615"/>
    <cellStyle name="ЛокСмета 3 4" xfId="2616"/>
    <cellStyle name="ЛокСмета 3 4 2" xfId="2617"/>
    <cellStyle name="ЛокСмета 3 5" xfId="2618"/>
    <cellStyle name="ЛокСмета 3 5 2" xfId="2619"/>
    <cellStyle name="ЛокСмета 3 6" xfId="2620"/>
    <cellStyle name="ЛокСмета 3 6 2" xfId="2621"/>
    <cellStyle name="ЛокСмета 3 7" xfId="2622"/>
    <cellStyle name="ЛокСмета 3 7 2" xfId="2623"/>
    <cellStyle name="ЛокСмета 3 8" xfId="2624"/>
    <cellStyle name="ЛокСмета 3 8 2" xfId="2625"/>
    <cellStyle name="ЛокСмета 3 9" xfId="2626"/>
    <cellStyle name="ЛокСмета 3 9 2" xfId="2627"/>
    <cellStyle name="ЛокСмета 4" xfId="2628"/>
    <cellStyle name="ЛокСмета 4 10" xfId="2629"/>
    <cellStyle name="ЛокСмета 4 10 2" xfId="2630"/>
    <cellStyle name="ЛокСмета 4 11" xfId="2631"/>
    <cellStyle name="ЛокСмета 4 11 2" xfId="2632"/>
    <cellStyle name="ЛокСмета 4 12" xfId="2633"/>
    <cellStyle name="ЛокСмета 4 12 2" xfId="2634"/>
    <cellStyle name="ЛокСмета 4 13" xfId="2635"/>
    <cellStyle name="ЛокСмета 4 13 2" xfId="2636"/>
    <cellStyle name="ЛокСмета 4 14" xfId="2637"/>
    <cellStyle name="ЛокСмета 4 14 2" xfId="2638"/>
    <cellStyle name="ЛокСмета 4 15" xfId="2639"/>
    <cellStyle name="ЛокСмета 4 15 2" xfId="2640"/>
    <cellStyle name="ЛокСмета 4 16" xfId="2641"/>
    <cellStyle name="ЛокСмета 4 16 2" xfId="2642"/>
    <cellStyle name="ЛокСмета 4 17" xfId="2643"/>
    <cellStyle name="ЛокСмета 4 17 2" xfId="2644"/>
    <cellStyle name="ЛокСмета 4 18" xfId="2645"/>
    <cellStyle name="ЛокСмета 4 18 2" xfId="2646"/>
    <cellStyle name="ЛокСмета 4 19" xfId="2647"/>
    <cellStyle name="ЛокСмета 4 2" xfId="2648"/>
    <cellStyle name="ЛокСмета 4 2 2" xfId="2649"/>
    <cellStyle name="ЛокСмета 4 3" xfId="2650"/>
    <cellStyle name="ЛокСмета 4 3 2" xfId="2651"/>
    <cellStyle name="ЛокСмета 4 4" xfId="2652"/>
    <cellStyle name="ЛокСмета 4 4 2" xfId="2653"/>
    <cellStyle name="ЛокСмета 4 5" xfId="2654"/>
    <cellStyle name="ЛокСмета 4 5 2" xfId="2655"/>
    <cellStyle name="ЛокСмета 4 6" xfId="2656"/>
    <cellStyle name="ЛокСмета 4 6 2" xfId="2657"/>
    <cellStyle name="ЛокСмета 4 7" xfId="2658"/>
    <cellStyle name="ЛокСмета 4 7 2" xfId="2659"/>
    <cellStyle name="ЛокСмета 4 8" xfId="2660"/>
    <cellStyle name="ЛокСмета 4 8 2" xfId="2661"/>
    <cellStyle name="ЛокСмета 4 9" xfId="2662"/>
    <cellStyle name="ЛокСмета 4 9 2" xfId="2663"/>
    <cellStyle name="ЛокСмета 5" xfId="2664"/>
    <cellStyle name="ЛокСмета 5 2" xfId="2665"/>
    <cellStyle name="ЛокСмета 6" xfId="2666"/>
    <cellStyle name="ЛокСмета 6 2" xfId="2667"/>
    <cellStyle name="ЛокСмета 7" xfId="2668"/>
    <cellStyle name="ЛокСмета 7 2" xfId="2669"/>
    <cellStyle name="ЛокСмета 8" xfId="2670"/>
    <cellStyle name="ЛокСмета 8 2" xfId="2671"/>
    <cellStyle name="ЛокСмета 9" xfId="2672"/>
    <cellStyle name="ЛокСмета 9 2" xfId="2673"/>
    <cellStyle name="Название 2" xfId="2674"/>
    <cellStyle name="Название 3" xfId="2675"/>
    <cellStyle name="Название 4" xfId="2676"/>
    <cellStyle name="Нейтральный 10" xfId="2677"/>
    <cellStyle name="Нейтральный 11" xfId="2678"/>
    <cellStyle name="Нейтральный 2" xfId="2679"/>
    <cellStyle name="Нейтральный 3" xfId="2680"/>
    <cellStyle name="Нейтральный 4" xfId="2681"/>
    <cellStyle name="Нейтральный 5" xfId="2682"/>
    <cellStyle name="Нейтральный 6" xfId="2683"/>
    <cellStyle name="Нейтральный 7" xfId="2684"/>
    <cellStyle name="Нейтральный 8" xfId="2685"/>
    <cellStyle name="Нейтральный 9" xfId="2686"/>
    <cellStyle name="Обычный" xfId="0" builtinId="0"/>
    <cellStyle name="Обычный 10" xfId="2687"/>
    <cellStyle name="Обычный 10 2" xfId="2688"/>
    <cellStyle name="Обычный 10 3" xfId="2689"/>
    <cellStyle name="Обычный 11" xfId="2690"/>
    <cellStyle name="Обычный 11 2" xfId="2691"/>
    <cellStyle name="Обычный 11 3" xfId="2692"/>
    <cellStyle name="Обычный 11 4" xfId="2693"/>
    <cellStyle name="Обычный 12" xfId="2694"/>
    <cellStyle name="Обычный 13" xfId="2695"/>
    <cellStyle name="Обычный 14" xfId="2696"/>
    <cellStyle name="Обычный 14 2" xfId="2697"/>
    <cellStyle name="Обычный 15" xfId="2698"/>
    <cellStyle name="Обычный 15 2" xfId="2699"/>
    <cellStyle name="Обычный 16" xfId="2700"/>
    <cellStyle name="Обычный 16 2" xfId="2701"/>
    <cellStyle name="Обычный 16 2 2" xfId="2702"/>
    <cellStyle name="Обычный 16 2 2 2" xfId="2703"/>
    <cellStyle name="Обычный 16 2 2 2 2" xfId="2704"/>
    <cellStyle name="Обычный 16 2 2 2 2 2" xfId="2705"/>
    <cellStyle name="Обычный 16 2 2 2 2 2 2" xfId="2706"/>
    <cellStyle name="Обычный 16 2 2 2 2 3" xfId="2707"/>
    <cellStyle name="Обычный 16 2 2 2 3" xfId="2708"/>
    <cellStyle name="Обычный 16 2 2 2 3 2" xfId="2709"/>
    <cellStyle name="Обычный 16 2 2 2 4" xfId="2710"/>
    <cellStyle name="Обычный 16 2 2 3" xfId="2711"/>
    <cellStyle name="Обычный 16 2 2 3 2" xfId="2712"/>
    <cellStyle name="Обычный 16 2 2 3 2 2" xfId="2713"/>
    <cellStyle name="Обычный 16 2 2 3 3" xfId="2714"/>
    <cellStyle name="Обычный 16 2 2 4" xfId="2715"/>
    <cellStyle name="Обычный 16 2 2 4 2" xfId="2716"/>
    <cellStyle name="Обычный 16 2 2 5" xfId="2717"/>
    <cellStyle name="Обычный 16 2 3" xfId="2718"/>
    <cellStyle name="Обычный 16 2 3 2" xfId="2719"/>
    <cellStyle name="Обычный 16 2 3 2 2" xfId="2720"/>
    <cellStyle name="Обычный 16 2 3 2 2 2" xfId="2721"/>
    <cellStyle name="Обычный 16 2 3 2 3" xfId="2722"/>
    <cellStyle name="Обычный 16 2 3 3" xfId="2723"/>
    <cellStyle name="Обычный 16 2 3 3 2" xfId="2724"/>
    <cellStyle name="Обычный 16 2 3 4" xfId="2725"/>
    <cellStyle name="Обычный 16 2 4" xfId="2726"/>
    <cellStyle name="Обычный 16 2 4 2" xfId="2727"/>
    <cellStyle name="Обычный 16 2 4 2 2" xfId="2728"/>
    <cellStyle name="Обычный 16 2 4 3" xfId="2729"/>
    <cellStyle name="Обычный 16 2 5" xfId="2730"/>
    <cellStyle name="Обычный 16 2 5 2" xfId="2731"/>
    <cellStyle name="Обычный 16 2 6" xfId="2732"/>
    <cellStyle name="Обычный 16 2 6 2" xfId="2733"/>
    <cellStyle name="Обычный 16 2 7" xfId="2734"/>
    <cellStyle name="Обычный 16 3" xfId="2735"/>
    <cellStyle name="Обычный 16 3 2" xfId="2736"/>
    <cellStyle name="Обычный 16 3 2 2" xfId="2737"/>
    <cellStyle name="Обычный 16 3 2 2 2" xfId="2738"/>
    <cellStyle name="Обычный 16 3 2 2 2 2" xfId="2739"/>
    <cellStyle name="Обычный 16 3 2 2 3" xfId="2740"/>
    <cellStyle name="Обычный 16 3 2 3" xfId="2741"/>
    <cellStyle name="Обычный 16 3 2 3 2" xfId="2742"/>
    <cellStyle name="Обычный 16 3 2 4" xfId="2743"/>
    <cellStyle name="Обычный 16 3 3" xfId="2744"/>
    <cellStyle name="Обычный 16 3 3 2" xfId="2745"/>
    <cellStyle name="Обычный 16 3 3 2 2" xfId="2746"/>
    <cellStyle name="Обычный 16 3 3 3" xfId="2747"/>
    <cellStyle name="Обычный 16 3 4" xfId="2748"/>
    <cellStyle name="Обычный 16 3 4 2" xfId="2749"/>
    <cellStyle name="Обычный 16 3 5" xfId="2750"/>
    <cellStyle name="Обычный 16 4" xfId="2751"/>
    <cellStyle name="Обычный 16 4 2" xfId="2752"/>
    <cellStyle name="Обычный 16 4 2 2" xfId="2753"/>
    <cellStyle name="Обычный 16 4 2 2 2" xfId="2754"/>
    <cellStyle name="Обычный 16 4 2 3" xfId="2755"/>
    <cellStyle name="Обычный 16 4 3" xfId="2756"/>
    <cellStyle name="Обычный 16 4 3 2" xfId="2757"/>
    <cellStyle name="Обычный 16 4 4" xfId="2758"/>
    <cellStyle name="Обычный 16 5" xfId="2759"/>
    <cellStyle name="Обычный 16 5 2" xfId="2760"/>
    <cellStyle name="Обычный 16 5 2 2" xfId="2761"/>
    <cellStyle name="Обычный 16 5 3" xfId="2762"/>
    <cellStyle name="Обычный 16 6" xfId="2763"/>
    <cellStyle name="Обычный 16 6 2" xfId="2764"/>
    <cellStyle name="Обычный 16 7" xfId="2765"/>
    <cellStyle name="Обычный 16 7 2" xfId="2766"/>
    <cellStyle name="Обычный 16 8" xfId="2767"/>
    <cellStyle name="Обычный 16 9" xfId="2768"/>
    <cellStyle name="Обычный 17" xfId="2769"/>
    <cellStyle name="Обычный 17 2" xfId="2770"/>
    <cellStyle name="Обычный 18" xfId="2771"/>
    <cellStyle name="Обычный 18 2" xfId="2772"/>
    <cellStyle name="Обычный 18 2 2" xfId="2773"/>
    <cellStyle name="Обычный 18 2 2 2" xfId="2774"/>
    <cellStyle name="Обычный 18 2 2 2 2" xfId="2775"/>
    <cellStyle name="Обычный 18 2 2 2 2 2" xfId="2776"/>
    <cellStyle name="Обычный 18 2 2 2 3" xfId="2777"/>
    <cellStyle name="Обычный 18 2 2 3" xfId="2778"/>
    <cellStyle name="Обычный 18 2 2 3 2" xfId="2779"/>
    <cellStyle name="Обычный 18 2 2 4" xfId="2780"/>
    <cellStyle name="Обычный 18 2 3" xfId="2781"/>
    <cellStyle name="Обычный 18 2 3 2" xfId="2782"/>
    <cellStyle name="Обычный 18 2 3 2 2" xfId="2783"/>
    <cellStyle name="Обычный 18 2 3 3" xfId="2784"/>
    <cellStyle name="Обычный 18 2 4" xfId="2785"/>
    <cellStyle name="Обычный 18 2 4 2" xfId="2786"/>
    <cellStyle name="Обычный 18 2 5" xfId="2787"/>
    <cellStyle name="Обычный 18 3" xfId="2788"/>
    <cellStyle name="Обычный 18 3 2" xfId="2789"/>
    <cellStyle name="Обычный 18 3 2 2" xfId="2790"/>
    <cellStyle name="Обычный 18 3 2 2 2" xfId="2791"/>
    <cellStyle name="Обычный 18 3 2 3" xfId="2792"/>
    <cellStyle name="Обычный 18 3 3" xfId="2793"/>
    <cellStyle name="Обычный 18 3 3 2" xfId="2794"/>
    <cellStyle name="Обычный 18 3 4" xfId="2795"/>
    <cellStyle name="Обычный 18 4" xfId="2796"/>
    <cellStyle name="Обычный 18 4 2" xfId="2797"/>
    <cellStyle name="Обычный 18 4 2 2" xfId="2798"/>
    <cellStyle name="Обычный 18 4 3" xfId="2799"/>
    <cellStyle name="Обычный 18 5" xfId="2800"/>
    <cellStyle name="Обычный 18 5 2" xfId="2801"/>
    <cellStyle name="Обычный 18 6" xfId="2802"/>
    <cellStyle name="Обычный 19" xfId="2803"/>
    <cellStyle name="Обычный 2" xfId="2804"/>
    <cellStyle name="Обычный 2 10" xfId="2805"/>
    <cellStyle name="Обычный 2 10 2" xfId="2806"/>
    <cellStyle name="Обычный 2 10 2 2" xfId="2807"/>
    <cellStyle name="Обычный 2 10 2 2 2" xfId="2808"/>
    <cellStyle name="Обычный 2 10 2 2 2 2" xfId="2809"/>
    <cellStyle name="Обычный 2 10 2 2 3" xfId="2810"/>
    <cellStyle name="Обычный 2 10 2 3" xfId="2811"/>
    <cellStyle name="Обычный 2 10 2 3 2" xfId="2812"/>
    <cellStyle name="Обычный 2 10 2 4" xfId="2813"/>
    <cellStyle name="Обычный 2 10 3" xfId="2814"/>
    <cellStyle name="Обычный 2 10 3 2" xfId="2815"/>
    <cellStyle name="Обычный 2 10 3 2 2" xfId="2816"/>
    <cellStyle name="Обычный 2 10 3 3" xfId="2817"/>
    <cellStyle name="Обычный 2 10 4" xfId="2818"/>
    <cellStyle name="Обычный 2 10 4 2" xfId="2819"/>
    <cellStyle name="Обычный 2 10 5" xfId="2820"/>
    <cellStyle name="Обычный 2 10 6" xfId="2821"/>
    <cellStyle name="Обычный 2 11" xfId="2822"/>
    <cellStyle name="Обычный 2 11 2" xfId="2823"/>
    <cellStyle name="Обычный 2 11 2 2" xfId="2824"/>
    <cellStyle name="Обычный 2 11 2 2 2" xfId="2825"/>
    <cellStyle name="Обычный 2 11 2 3" xfId="2826"/>
    <cellStyle name="Обычный 2 11 3" xfId="2827"/>
    <cellStyle name="Обычный 2 11 3 2" xfId="2828"/>
    <cellStyle name="Обычный 2 11 4" xfId="2829"/>
    <cellStyle name="Обычный 2 12" xfId="2830"/>
    <cellStyle name="Обычный 2 13" xfId="2831"/>
    <cellStyle name="Обычный 2 13 2" xfId="2832"/>
    <cellStyle name="Обычный 2 14" xfId="2833"/>
    <cellStyle name="Обычный 2 15" xfId="2834"/>
    <cellStyle name="Обычный 2 2" xfId="2835"/>
    <cellStyle name="Обычный 2 2 2" xfId="2836"/>
    <cellStyle name="Обычный 2 2 2 2" xfId="2837"/>
    <cellStyle name="Обычный 2 2 3" xfId="2838"/>
    <cellStyle name="Обычный 2 2 4" xfId="2839"/>
    <cellStyle name="Обычный 2 2 5" xfId="2840"/>
    <cellStyle name="Обычный 2 3" xfId="2841"/>
    <cellStyle name="Обычный 2 3 2" xfId="2842"/>
    <cellStyle name="Обычный 2 3 3" xfId="2843"/>
    <cellStyle name="Обычный 2 4" xfId="2844"/>
    <cellStyle name="Обычный 2 4 2" xfId="2845"/>
    <cellStyle name="Обычный 2 4 3" xfId="2846"/>
    <cellStyle name="Обычный 2 5" xfId="2847"/>
    <cellStyle name="Обычный 2 6" xfId="2848"/>
    <cellStyle name="Обычный 2 6 2" xfId="2849"/>
    <cellStyle name="Обычный 2 6 3" xfId="2850"/>
    <cellStyle name="Обычный 2 6 3 2" xfId="2851"/>
    <cellStyle name="Обычный 2 6 3 2 2" xfId="2852"/>
    <cellStyle name="Обычный 2 6 3 2 2 2" xfId="2853"/>
    <cellStyle name="Обычный 2 6 3 2 2 2 2" xfId="2854"/>
    <cellStyle name="Обычный 2 6 3 2 2 2 2 2" xfId="2855"/>
    <cellStyle name="Обычный 2 6 3 2 2 2 3" xfId="2856"/>
    <cellStyle name="Обычный 2 6 3 2 2 3" xfId="2857"/>
    <cellStyle name="Обычный 2 6 3 2 2 3 2" xfId="2858"/>
    <cellStyle name="Обычный 2 6 3 2 2 4" xfId="2859"/>
    <cellStyle name="Обычный 2 6 3 2 3" xfId="2860"/>
    <cellStyle name="Обычный 2 6 3 2 3 2" xfId="2861"/>
    <cellStyle name="Обычный 2 6 3 2 3 2 2" xfId="2862"/>
    <cellStyle name="Обычный 2 6 3 2 3 3" xfId="2863"/>
    <cellStyle name="Обычный 2 6 3 2 4" xfId="2864"/>
    <cellStyle name="Обычный 2 6 3 2 4 2" xfId="2865"/>
    <cellStyle name="Обычный 2 6 3 2 5" xfId="2866"/>
    <cellStyle name="Обычный 2 6 3 3" xfId="2867"/>
    <cellStyle name="Обычный 2 6 3 3 2" xfId="2868"/>
    <cellStyle name="Обычный 2 6 3 3 2 2" xfId="2869"/>
    <cellStyle name="Обычный 2 6 3 3 2 2 2" xfId="2870"/>
    <cellStyle name="Обычный 2 6 3 3 2 3" xfId="2871"/>
    <cellStyle name="Обычный 2 6 3 3 3" xfId="2872"/>
    <cellStyle name="Обычный 2 6 3 3 3 2" xfId="2873"/>
    <cellStyle name="Обычный 2 6 3 3 4" xfId="2874"/>
    <cellStyle name="Обычный 2 6 3 4" xfId="2875"/>
    <cellStyle name="Обычный 2 6 3 4 2" xfId="2876"/>
    <cellStyle name="Обычный 2 6 3 4 2 2" xfId="2877"/>
    <cellStyle name="Обычный 2 6 3 4 3" xfId="2878"/>
    <cellStyle name="Обычный 2 6 3 5" xfId="2879"/>
    <cellStyle name="Обычный 2 6 3 5 2" xfId="2880"/>
    <cellStyle name="Обычный 2 6 3 6" xfId="2881"/>
    <cellStyle name="Обычный 2 6 4" xfId="2882"/>
    <cellStyle name="Обычный 2 6 4 2" xfId="2883"/>
    <cellStyle name="Обычный 2 6 4 2 2" xfId="2884"/>
    <cellStyle name="Обычный 2 6 4 2 2 2" xfId="2885"/>
    <cellStyle name="Обычный 2 6 4 2 2 2 2" xfId="2886"/>
    <cellStyle name="Обычный 2 6 4 2 2 3" xfId="2887"/>
    <cellStyle name="Обычный 2 6 4 2 3" xfId="2888"/>
    <cellStyle name="Обычный 2 6 4 2 3 2" xfId="2889"/>
    <cellStyle name="Обычный 2 6 4 2 4" xfId="2890"/>
    <cellStyle name="Обычный 2 6 4 3" xfId="2891"/>
    <cellStyle name="Обычный 2 6 4 3 2" xfId="2892"/>
    <cellStyle name="Обычный 2 6 4 3 2 2" xfId="2893"/>
    <cellStyle name="Обычный 2 6 4 3 3" xfId="2894"/>
    <cellStyle name="Обычный 2 6 4 4" xfId="2895"/>
    <cellStyle name="Обычный 2 6 4 4 2" xfId="2896"/>
    <cellStyle name="Обычный 2 6 4 5" xfId="2897"/>
    <cellStyle name="Обычный 2 6 5" xfId="2898"/>
    <cellStyle name="Обычный 2 6 5 2" xfId="2899"/>
    <cellStyle name="Обычный 2 6 5 2 2" xfId="2900"/>
    <cellStyle name="Обычный 2 6 5 2 2 2" xfId="2901"/>
    <cellStyle name="Обычный 2 6 5 2 3" xfId="2902"/>
    <cellStyle name="Обычный 2 6 5 3" xfId="2903"/>
    <cellStyle name="Обычный 2 6 5 3 2" xfId="2904"/>
    <cellStyle name="Обычный 2 6 5 4" xfId="2905"/>
    <cellStyle name="Обычный 2 6 6" xfId="2906"/>
    <cellStyle name="Обычный 2 6 6 2" xfId="2907"/>
    <cellStyle name="Обычный 2 6 6 2 2" xfId="2908"/>
    <cellStyle name="Обычный 2 6 6 3" xfId="2909"/>
    <cellStyle name="Обычный 2 6 7" xfId="2910"/>
    <cellStyle name="Обычный 2 6 7 2" xfId="2911"/>
    <cellStyle name="Обычный 2 6 8" xfId="2912"/>
    <cellStyle name="Обычный 2 6 9" xfId="2913"/>
    <cellStyle name="Обычный 2 7" xfId="2914"/>
    <cellStyle name="Обычный 2 7 2" xfId="2915"/>
    <cellStyle name="Обычный 2 7 2 2" xfId="2916"/>
    <cellStyle name="Обычный 2 7 2 2 2" xfId="2917"/>
    <cellStyle name="Обычный 2 7 2 2 2 2" xfId="2918"/>
    <cellStyle name="Обычный 2 7 2 2 2 2 2" xfId="2919"/>
    <cellStyle name="Обычный 2 7 2 2 2 2 2 2" xfId="2920"/>
    <cellStyle name="Обычный 2 7 2 2 2 2 3" xfId="2921"/>
    <cellStyle name="Обычный 2 7 2 2 2 3" xfId="2922"/>
    <cellStyle name="Обычный 2 7 2 2 2 3 2" xfId="2923"/>
    <cellStyle name="Обычный 2 7 2 2 2 4" xfId="2924"/>
    <cellStyle name="Обычный 2 7 2 2 3" xfId="2925"/>
    <cellStyle name="Обычный 2 7 2 2 3 2" xfId="2926"/>
    <cellStyle name="Обычный 2 7 2 2 3 2 2" xfId="2927"/>
    <cellStyle name="Обычный 2 7 2 2 3 3" xfId="2928"/>
    <cellStyle name="Обычный 2 7 2 2 4" xfId="2929"/>
    <cellStyle name="Обычный 2 7 2 2 4 2" xfId="2930"/>
    <cellStyle name="Обычный 2 7 2 2 5" xfId="2931"/>
    <cellStyle name="Обычный 2 7 2 3" xfId="2932"/>
    <cellStyle name="Обычный 2 7 2 3 2" xfId="2933"/>
    <cellStyle name="Обычный 2 7 2 3 2 2" xfId="2934"/>
    <cellStyle name="Обычный 2 7 2 3 2 2 2" xfId="2935"/>
    <cellStyle name="Обычный 2 7 2 3 2 3" xfId="2936"/>
    <cellStyle name="Обычный 2 7 2 3 3" xfId="2937"/>
    <cellStyle name="Обычный 2 7 2 3 3 2" xfId="2938"/>
    <cellStyle name="Обычный 2 7 2 3 4" xfId="2939"/>
    <cellStyle name="Обычный 2 7 2 4" xfId="2940"/>
    <cellStyle name="Обычный 2 7 2 4 2" xfId="2941"/>
    <cellStyle name="Обычный 2 7 2 4 2 2" xfId="2942"/>
    <cellStyle name="Обычный 2 7 2 4 3" xfId="2943"/>
    <cellStyle name="Обычный 2 7 2 5" xfId="2944"/>
    <cellStyle name="Обычный 2 7 2 5 2" xfId="2945"/>
    <cellStyle name="Обычный 2 7 2 6" xfId="2946"/>
    <cellStyle name="Обычный 2 7 3" xfId="2947"/>
    <cellStyle name="Обычный 2 7 3 2" xfId="2948"/>
    <cellStyle name="Обычный 2 7 3 2 2" xfId="2949"/>
    <cellStyle name="Обычный 2 7 3 2 2 2" xfId="2950"/>
    <cellStyle name="Обычный 2 7 3 2 2 2 2" xfId="2951"/>
    <cellStyle name="Обычный 2 7 3 2 2 3" xfId="2952"/>
    <cellStyle name="Обычный 2 7 3 2 3" xfId="2953"/>
    <cellStyle name="Обычный 2 7 3 2 3 2" xfId="2954"/>
    <cellStyle name="Обычный 2 7 3 2 4" xfId="2955"/>
    <cellStyle name="Обычный 2 7 3 3" xfId="2956"/>
    <cellStyle name="Обычный 2 7 3 3 2" xfId="2957"/>
    <cellStyle name="Обычный 2 7 3 3 2 2" xfId="2958"/>
    <cellStyle name="Обычный 2 7 3 3 3" xfId="2959"/>
    <cellStyle name="Обычный 2 7 3 4" xfId="2960"/>
    <cellStyle name="Обычный 2 7 3 4 2" xfId="2961"/>
    <cellStyle name="Обычный 2 7 3 5" xfId="2962"/>
    <cellStyle name="Обычный 2 7 4" xfId="2963"/>
    <cellStyle name="Обычный 2 7 4 2" xfId="2964"/>
    <cellStyle name="Обычный 2 7 4 2 2" xfId="2965"/>
    <cellStyle name="Обычный 2 7 4 2 2 2" xfId="2966"/>
    <cellStyle name="Обычный 2 7 4 2 3" xfId="2967"/>
    <cellStyle name="Обычный 2 7 4 3" xfId="2968"/>
    <cellStyle name="Обычный 2 7 4 3 2" xfId="2969"/>
    <cellStyle name="Обычный 2 7 4 4" xfId="2970"/>
    <cellStyle name="Обычный 2 7 5" xfId="2971"/>
    <cellStyle name="Обычный 2 7 5 2" xfId="2972"/>
    <cellStyle name="Обычный 2 7 5 2 2" xfId="2973"/>
    <cellStyle name="Обычный 2 7 5 3" xfId="2974"/>
    <cellStyle name="Обычный 2 7 6" xfId="2975"/>
    <cellStyle name="Обычный 2 7 6 2" xfId="2976"/>
    <cellStyle name="Обычный 2 7 7" xfId="2977"/>
    <cellStyle name="Обычный 2 7 8" xfId="2978"/>
    <cellStyle name="Обычный 2 8" xfId="2979"/>
    <cellStyle name="Обычный 2 8 2" xfId="2980"/>
    <cellStyle name="Обычный 2 8 2 2" xfId="2981"/>
    <cellStyle name="Обычный 2 8 2 2 2" xfId="2982"/>
    <cellStyle name="Обычный 2 8 2 2 2 2" xfId="2983"/>
    <cellStyle name="Обычный 2 8 2 2 2 2 2" xfId="2984"/>
    <cellStyle name="Обычный 2 8 2 2 2 3" xfId="2985"/>
    <cellStyle name="Обычный 2 8 2 2 3" xfId="2986"/>
    <cellStyle name="Обычный 2 8 2 2 3 2" xfId="2987"/>
    <cellStyle name="Обычный 2 8 2 2 4" xfId="2988"/>
    <cellStyle name="Обычный 2 8 2 3" xfId="2989"/>
    <cellStyle name="Обычный 2 8 2 3 2" xfId="2990"/>
    <cellStyle name="Обычный 2 8 2 3 2 2" xfId="2991"/>
    <cellStyle name="Обычный 2 8 2 3 3" xfId="2992"/>
    <cellStyle name="Обычный 2 8 2 4" xfId="2993"/>
    <cellStyle name="Обычный 2 8 2 4 2" xfId="2994"/>
    <cellStyle name="Обычный 2 8 2 5" xfId="2995"/>
    <cellStyle name="Обычный 2 8 3" xfId="2996"/>
    <cellStyle name="Обычный 2 8 3 2" xfId="2997"/>
    <cellStyle name="Обычный 2 8 3 2 2" xfId="2998"/>
    <cellStyle name="Обычный 2 8 3 2 2 2" xfId="2999"/>
    <cellStyle name="Обычный 2 8 3 2 3" xfId="3000"/>
    <cellStyle name="Обычный 2 8 3 3" xfId="3001"/>
    <cellStyle name="Обычный 2 8 3 3 2" xfId="3002"/>
    <cellStyle name="Обычный 2 8 3 4" xfId="3003"/>
    <cellStyle name="Обычный 2 8 4" xfId="3004"/>
    <cellStyle name="Обычный 2 8 4 2" xfId="3005"/>
    <cellStyle name="Обычный 2 8 4 2 2" xfId="3006"/>
    <cellStyle name="Обычный 2 8 4 3" xfId="3007"/>
    <cellStyle name="Обычный 2 8 5" xfId="3008"/>
    <cellStyle name="Обычный 2 8 5 2" xfId="3009"/>
    <cellStyle name="Обычный 2 8 6" xfId="3010"/>
    <cellStyle name="Обычный 2 9" xfId="3011"/>
    <cellStyle name="Обычный 2_03 Адлерская ТЭС" xfId="3012"/>
    <cellStyle name="Обычный 20" xfId="3013"/>
    <cellStyle name="Обычный 21" xfId="3014"/>
    <cellStyle name="Обычный 22" xfId="3015"/>
    <cellStyle name="Обычный 23" xfId="3016"/>
    <cellStyle name="Обычный 24" xfId="3017"/>
    <cellStyle name="Обычный 25" xfId="3018"/>
    <cellStyle name="Обычный 25 2" xfId="3019"/>
    <cellStyle name="Обычный 25 2 2" xfId="3020"/>
    <cellStyle name="Обычный 25 2 2 2" xfId="3021"/>
    <cellStyle name="Обычный 25 2 2 2 2" xfId="3022"/>
    <cellStyle name="Обычный 25 2 2 2 2 2" xfId="3023"/>
    <cellStyle name="Обычный 25 2 2 2 3" xfId="3024"/>
    <cellStyle name="Обычный 25 2 2 3" xfId="3025"/>
    <cellStyle name="Обычный 25 2 2 3 2" xfId="3026"/>
    <cellStyle name="Обычный 25 2 2 4" xfId="3027"/>
    <cellStyle name="Обычный 25 2 3" xfId="3028"/>
    <cellStyle name="Обычный 25 2 3 2" xfId="3029"/>
    <cellStyle name="Обычный 25 2 3 2 2" xfId="3030"/>
    <cellStyle name="Обычный 25 2 3 3" xfId="3031"/>
    <cellStyle name="Обычный 25 2 4" xfId="3032"/>
    <cellStyle name="Обычный 25 2 4 2" xfId="3033"/>
    <cellStyle name="Обычный 25 2 5" xfId="3034"/>
    <cellStyle name="Обычный 25 3" xfId="3035"/>
    <cellStyle name="Обычный 25 3 2" xfId="3036"/>
    <cellStyle name="Обычный 25 3 2 2" xfId="3037"/>
    <cellStyle name="Обычный 25 3 2 2 2" xfId="3038"/>
    <cellStyle name="Обычный 25 3 2 3" xfId="3039"/>
    <cellStyle name="Обычный 25 3 3" xfId="3040"/>
    <cellStyle name="Обычный 25 3 3 2" xfId="3041"/>
    <cellStyle name="Обычный 25 3 4" xfId="3042"/>
    <cellStyle name="Обычный 25 4" xfId="3043"/>
    <cellStyle name="Обычный 25 4 2" xfId="3044"/>
    <cellStyle name="Обычный 25 4 2 2" xfId="3045"/>
    <cellStyle name="Обычный 25 4 3" xfId="3046"/>
    <cellStyle name="Обычный 25 5" xfId="3047"/>
    <cellStyle name="Обычный 25 5 2" xfId="3048"/>
    <cellStyle name="Обычный 25 6" xfId="3049"/>
    <cellStyle name="Обычный 26" xfId="3050"/>
    <cellStyle name="Обычный 26 2" xfId="3051"/>
    <cellStyle name="Обычный 26 2 2" xfId="3052"/>
    <cellStyle name="Обычный 26 2 2 2" xfId="3053"/>
    <cellStyle name="Обычный 26 2 2 2 2" xfId="3054"/>
    <cellStyle name="Обычный 26 2 2 2 2 2" xfId="3055"/>
    <cellStyle name="Обычный 26 2 2 2 3" xfId="3056"/>
    <cellStyle name="Обычный 26 2 2 3" xfId="3057"/>
    <cellStyle name="Обычный 26 2 2 3 2" xfId="3058"/>
    <cellStyle name="Обычный 26 2 2 4" xfId="3059"/>
    <cellStyle name="Обычный 26 2 3" xfId="3060"/>
    <cellStyle name="Обычный 26 2 3 2" xfId="3061"/>
    <cellStyle name="Обычный 26 2 3 2 2" xfId="3062"/>
    <cellStyle name="Обычный 26 2 3 3" xfId="3063"/>
    <cellStyle name="Обычный 26 2 4" xfId="3064"/>
    <cellStyle name="Обычный 26 2 4 2" xfId="3065"/>
    <cellStyle name="Обычный 26 2 5" xfId="3066"/>
    <cellStyle name="Обычный 26 3" xfId="3067"/>
    <cellStyle name="Обычный 26 3 2" xfId="3068"/>
    <cellStyle name="Обычный 26 3 2 2" xfId="3069"/>
    <cellStyle name="Обычный 26 3 2 2 2" xfId="3070"/>
    <cellStyle name="Обычный 26 3 2 3" xfId="3071"/>
    <cellStyle name="Обычный 26 3 3" xfId="3072"/>
    <cellStyle name="Обычный 26 3 3 2" xfId="3073"/>
    <cellStyle name="Обычный 26 3 4" xfId="3074"/>
    <cellStyle name="Обычный 26 4" xfId="3075"/>
    <cellStyle name="Обычный 26 4 2" xfId="3076"/>
    <cellStyle name="Обычный 26 4 2 2" xfId="3077"/>
    <cellStyle name="Обычный 26 4 3" xfId="3078"/>
    <cellStyle name="Обычный 26 5" xfId="3079"/>
    <cellStyle name="Обычный 26 5 2" xfId="3080"/>
    <cellStyle name="Обычный 26 6" xfId="3081"/>
    <cellStyle name="Обычный 27" xfId="3082"/>
    <cellStyle name="Обычный 27 2" xfId="3083"/>
    <cellStyle name="Обычный 27 2 2" xfId="3084"/>
    <cellStyle name="Обычный 27 2 2 2" xfId="3085"/>
    <cellStyle name="Обычный 27 2 2 2 2" xfId="3086"/>
    <cellStyle name="Обычный 27 2 2 2 2 2" xfId="3087"/>
    <cellStyle name="Обычный 27 2 2 2 3" xfId="3088"/>
    <cellStyle name="Обычный 27 2 2 3" xfId="3089"/>
    <cellStyle name="Обычный 27 2 2 3 2" xfId="3090"/>
    <cellStyle name="Обычный 27 2 2 4" xfId="3091"/>
    <cellStyle name="Обычный 27 2 3" xfId="3092"/>
    <cellStyle name="Обычный 27 2 3 2" xfId="3093"/>
    <cellStyle name="Обычный 27 2 3 2 2" xfId="3094"/>
    <cellStyle name="Обычный 27 2 3 3" xfId="3095"/>
    <cellStyle name="Обычный 27 2 4" xfId="3096"/>
    <cellStyle name="Обычный 27 2 4 2" xfId="3097"/>
    <cellStyle name="Обычный 27 2 5" xfId="3098"/>
    <cellStyle name="Обычный 27 3" xfId="3099"/>
    <cellStyle name="Обычный 27 3 2" xfId="3100"/>
    <cellStyle name="Обычный 27 3 2 2" xfId="3101"/>
    <cellStyle name="Обычный 27 3 2 2 2" xfId="3102"/>
    <cellStyle name="Обычный 27 3 2 3" xfId="3103"/>
    <cellStyle name="Обычный 27 3 3" xfId="3104"/>
    <cellStyle name="Обычный 27 3 3 2" xfId="3105"/>
    <cellStyle name="Обычный 27 3 4" xfId="3106"/>
    <cellStyle name="Обычный 27 4" xfId="3107"/>
    <cellStyle name="Обычный 27 4 2" xfId="3108"/>
    <cellStyle name="Обычный 27 4 2 2" xfId="3109"/>
    <cellStyle name="Обычный 27 4 3" xfId="3110"/>
    <cellStyle name="Обычный 27 5" xfId="3111"/>
    <cellStyle name="Обычный 27 5 2" xfId="3112"/>
    <cellStyle name="Обычный 27 6" xfId="3113"/>
    <cellStyle name="Обычный 28" xfId="3114"/>
    <cellStyle name="Обычный 28 2" xfId="3115"/>
    <cellStyle name="Обычный 28 2 2" xfId="3116"/>
    <cellStyle name="Обычный 28 2 2 2" xfId="3117"/>
    <cellStyle name="Обычный 28 2 2 2 2" xfId="3118"/>
    <cellStyle name="Обычный 28 2 2 2 2 2" xfId="3119"/>
    <cellStyle name="Обычный 28 2 2 2 3" xfId="3120"/>
    <cellStyle name="Обычный 28 2 2 3" xfId="3121"/>
    <cellStyle name="Обычный 28 2 2 3 2" xfId="3122"/>
    <cellStyle name="Обычный 28 2 2 4" xfId="3123"/>
    <cellStyle name="Обычный 28 2 3" xfId="3124"/>
    <cellStyle name="Обычный 28 2 3 2" xfId="3125"/>
    <cellStyle name="Обычный 28 2 3 2 2" xfId="3126"/>
    <cellStyle name="Обычный 28 2 3 3" xfId="3127"/>
    <cellStyle name="Обычный 28 2 4" xfId="3128"/>
    <cellStyle name="Обычный 28 2 4 2" xfId="3129"/>
    <cellStyle name="Обычный 28 2 5" xfId="3130"/>
    <cellStyle name="Обычный 28 3" xfId="3131"/>
    <cellStyle name="Обычный 28 3 2" xfId="3132"/>
    <cellStyle name="Обычный 28 3 2 2" xfId="3133"/>
    <cellStyle name="Обычный 28 3 2 2 2" xfId="3134"/>
    <cellStyle name="Обычный 28 3 2 3" xfId="3135"/>
    <cellStyle name="Обычный 28 3 3" xfId="3136"/>
    <cellStyle name="Обычный 28 3 3 2" xfId="3137"/>
    <cellStyle name="Обычный 28 3 4" xfId="3138"/>
    <cellStyle name="Обычный 28 4" xfId="3139"/>
    <cellStyle name="Обычный 28 4 2" xfId="3140"/>
    <cellStyle name="Обычный 28 4 2 2" xfId="3141"/>
    <cellStyle name="Обычный 28 4 3" xfId="3142"/>
    <cellStyle name="Обычный 28 5" xfId="3143"/>
    <cellStyle name="Обычный 28 5 2" xfId="3144"/>
    <cellStyle name="Обычный 28 6" xfId="3145"/>
    <cellStyle name="Обычный 288" xfId="3146"/>
    <cellStyle name="Обычный 29" xfId="3147"/>
    <cellStyle name="Обычный 29 2" xfId="3148"/>
    <cellStyle name="Обычный 29 2 2" xfId="3149"/>
    <cellStyle name="Обычный 29 2 2 2" xfId="3150"/>
    <cellStyle name="Обычный 29 2 2 2 2" xfId="3151"/>
    <cellStyle name="Обычный 29 2 2 2 2 2" xfId="3152"/>
    <cellStyle name="Обычный 29 2 2 2 3" xfId="3153"/>
    <cellStyle name="Обычный 29 2 2 3" xfId="3154"/>
    <cellStyle name="Обычный 29 2 2 3 2" xfId="3155"/>
    <cellStyle name="Обычный 29 2 2 4" xfId="3156"/>
    <cellStyle name="Обычный 29 2 3" xfId="3157"/>
    <cellStyle name="Обычный 29 2 3 2" xfId="3158"/>
    <cellStyle name="Обычный 29 2 3 2 2" xfId="3159"/>
    <cellStyle name="Обычный 29 2 3 3" xfId="3160"/>
    <cellStyle name="Обычный 29 2 4" xfId="3161"/>
    <cellStyle name="Обычный 29 2 4 2" xfId="3162"/>
    <cellStyle name="Обычный 29 2 5" xfId="3163"/>
    <cellStyle name="Обычный 29 3" xfId="3164"/>
    <cellStyle name="Обычный 29 3 2" xfId="3165"/>
    <cellStyle name="Обычный 29 3 2 2" xfId="3166"/>
    <cellStyle name="Обычный 29 3 2 2 2" xfId="3167"/>
    <cellStyle name="Обычный 29 3 2 3" xfId="3168"/>
    <cellStyle name="Обычный 29 3 3" xfId="3169"/>
    <cellStyle name="Обычный 29 3 3 2" xfId="3170"/>
    <cellStyle name="Обычный 29 3 4" xfId="3171"/>
    <cellStyle name="Обычный 29 4" xfId="3172"/>
    <cellStyle name="Обычный 29 4 2" xfId="3173"/>
    <cellStyle name="Обычный 29 4 2 2" xfId="3174"/>
    <cellStyle name="Обычный 29 4 3" xfId="3175"/>
    <cellStyle name="Обычный 29 5" xfId="3176"/>
    <cellStyle name="Обычный 29 5 2" xfId="3177"/>
    <cellStyle name="Обычный 29 6" xfId="3178"/>
    <cellStyle name="Обычный 3" xfId="3179"/>
    <cellStyle name="Обычный 3 2" xfId="3180"/>
    <cellStyle name="Обычный 3 2 2" xfId="3181"/>
    <cellStyle name="Обычный 3 2 2 2" xfId="3182"/>
    <cellStyle name="Обычный 3 2 2 3" xfId="3183"/>
    <cellStyle name="Обычный 3 2 3" xfId="3184"/>
    <cellStyle name="Обычный 3 2 3 2" xfId="3185"/>
    <cellStyle name="Обычный 3 2 4" xfId="3186"/>
    <cellStyle name="Обычный 3 2 4 2" xfId="3187"/>
    <cellStyle name="Обычный 3 2 5" xfId="3188"/>
    <cellStyle name="Обычный 3 3" xfId="3189"/>
    <cellStyle name="Обычный 3 3 2" xfId="3190"/>
    <cellStyle name="Обычный 3 3 2 2" xfId="3191"/>
    <cellStyle name="Обычный 3 4" xfId="3192"/>
    <cellStyle name="Обычный 3 5" xfId="3193"/>
    <cellStyle name="Обычный 3 5 2" xfId="3194"/>
    <cellStyle name="Обычный 3 5 2 2" xfId="3195"/>
    <cellStyle name="Обычный 3 5 2 2 2" xfId="3196"/>
    <cellStyle name="Обычный 3 5 2 2 2 2" xfId="3197"/>
    <cellStyle name="Обычный 3 5 2 2 2 2 2" xfId="3198"/>
    <cellStyle name="Обычный 3 5 2 2 2 3" xfId="3199"/>
    <cellStyle name="Обычный 3 5 2 2 3" xfId="3200"/>
    <cellStyle name="Обычный 3 5 2 2 3 2" xfId="3201"/>
    <cellStyle name="Обычный 3 5 2 2 4" xfId="3202"/>
    <cellStyle name="Обычный 3 5 2 3" xfId="3203"/>
    <cellStyle name="Обычный 3 5 2 3 2" xfId="3204"/>
    <cellStyle name="Обычный 3 5 2 3 2 2" xfId="3205"/>
    <cellStyle name="Обычный 3 5 2 3 3" xfId="3206"/>
    <cellStyle name="Обычный 3 5 2 4" xfId="3207"/>
    <cellStyle name="Обычный 3 5 2 4 2" xfId="3208"/>
    <cellStyle name="Обычный 3 5 2 5" xfId="3209"/>
    <cellStyle name="Обычный 3 5 3" xfId="3210"/>
    <cellStyle name="Обычный 3 5 3 2" xfId="3211"/>
    <cellStyle name="Обычный 3 5 3 2 2" xfId="3212"/>
    <cellStyle name="Обычный 3 5 3 2 2 2" xfId="3213"/>
    <cellStyle name="Обычный 3 5 3 2 3" xfId="3214"/>
    <cellStyle name="Обычный 3 5 3 3" xfId="3215"/>
    <cellStyle name="Обычный 3 5 3 3 2" xfId="3216"/>
    <cellStyle name="Обычный 3 5 3 4" xfId="3217"/>
    <cellStyle name="Обычный 3 5 4" xfId="3218"/>
    <cellStyle name="Обычный 3 5 4 2" xfId="3219"/>
    <cellStyle name="Обычный 3 5 4 2 2" xfId="3220"/>
    <cellStyle name="Обычный 3 5 4 3" xfId="3221"/>
    <cellStyle name="Обычный 3 5 5" xfId="3222"/>
    <cellStyle name="Обычный 3 5 5 2" xfId="3223"/>
    <cellStyle name="Обычный 3 5 6" xfId="3224"/>
    <cellStyle name="Обычный 3 5 7" xfId="3225"/>
    <cellStyle name="Обычный 3 6" xfId="3226"/>
    <cellStyle name="Обычный 3 6 2" xfId="3227"/>
    <cellStyle name="Обычный 3 6 2 2" xfId="3228"/>
    <cellStyle name="Обычный 3 6 2 2 2" xfId="3229"/>
    <cellStyle name="Обычный 3 6 2 2 2 2" xfId="3230"/>
    <cellStyle name="Обычный 3 6 2 2 2 2 2" xfId="3231"/>
    <cellStyle name="Обычный 3 6 2 2 2 3" xfId="3232"/>
    <cellStyle name="Обычный 3 6 2 2 3" xfId="3233"/>
    <cellStyle name="Обычный 3 6 2 2 3 2" xfId="3234"/>
    <cellStyle name="Обычный 3 6 2 2 4" xfId="3235"/>
    <cellStyle name="Обычный 3 6 2 3" xfId="3236"/>
    <cellStyle name="Обычный 3 6 2 3 2" xfId="3237"/>
    <cellStyle name="Обычный 3 6 2 3 2 2" xfId="3238"/>
    <cellStyle name="Обычный 3 6 2 3 3" xfId="3239"/>
    <cellStyle name="Обычный 3 6 2 4" xfId="3240"/>
    <cellStyle name="Обычный 3 6 2 4 2" xfId="3241"/>
    <cellStyle name="Обычный 3 6 2 5" xfId="3242"/>
    <cellStyle name="Обычный 3 6 3" xfId="3243"/>
    <cellStyle name="Обычный 3 6 3 2" xfId="3244"/>
    <cellStyle name="Обычный 3 6 3 2 2" xfId="3245"/>
    <cellStyle name="Обычный 3 6 3 2 2 2" xfId="3246"/>
    <cellStyle name="Обычный 3 6 3 2 3" xfId="3247"/>
    <cellStyle name="Обычный 3 6 3 3" xfId="3248"/>
    <cellStyle name="Обычный 3 6 3 3 2" xfId="3249"/>
    <cellStyle name="Обычный 3 6 3 4" xfId="3250"/>
    <cellStyle name="Обычный 3 6 4" xfId="3251"/>
    <cellStyle name="Обычный 3 6 4 2" xfId="3252"/>
    <cellStyle name="Обычный 3 6 4 2 2" xfId="3253"/>
    <cellStyle name="Обычный 3 6 4 3" xfId="3254"/>
    <cellStyle name="Обычный 3 6 5" xfId="3255"/>
    <cellStyle name="Обычный 3 6 5 2" xfId="3256"/>
    <cellStyle name="Обычный 3 6 6" xfId="3257"/>
    <cellStyle name="Обычный 3 7" xfId="3258"/>
    <cellStyle name="Обычный 3 8" xfId="3259"/>
    <cellStyle name="Обычный 3 9" xfId="3260"/>
    <cellStyle name="Обычный 3_инвестиционный № 6-47013" xfId="3261"/>
    <cellStyle name="Обычный 30" xfId="3262"/>
    <cellStyle name="Обычный 30 2" xfId="3263"/>
    <cellStyle name="Обычный 30 2 2" xfId="3264"/>
    <cellStyle name="Обычный 30 2 2 2" xfId="3265"/>
    <cellStyle name="Обычный 30 2 2 2 2" xfId="3266"/>
    <cellStyle name="Обычный 30 2 2 2 2 2" xfId="3267"/>
    <cellStyle name="Обычный 30 2 2 2 3" xfId="3268"/>
    <cellStyle name="Обычный 30 2 2 3" xfId="3269"/>
    <cellStyle name="Обычный 30 2 2 3 2" xfId="3270"/>
    <cellStyle name="Обычный 30 2 2 4" xfId="3271"/>
    <cellStyle name="Обычный 30 2 3" xfId="3272"/>
    <cellStyle name="Обычный 30 2 3 2" xfId="3273"/>
    <cellStyle name="Обычный 30 2 3 2 2" xfId="3274"/>
    <cellStyle name="Обычный 30 2 3 3" xfId="3275"/>
    <cellStyle name="Обычный 30 2 4" xfId="3276"/>
    <cellStyle name="Обычный 30 2 4 2" xfId="3277"/>
    <cellStyle name="Обычный 30 2 5" xfId="3278"/>
    <cellStyle name="Обычный 30 3" xfId="3279"/>
    <cellStyle name="Обычный 30 3 2" xfId="3280"/>
    <cellStyle name="Обычный 30 3 2 2" xfId="3281"/>
    <cellStyle name="Обычный 30 3 2 2 2" xfId="3282"/>
    <cellStyle name="Обычный 30 3 2 3" xfId="3283"/>
    <cellStyle name="Обычный 30 3 3" xfId="3284"/>
    <cellStyle name="Обычный 30 3 3 2" xfId="3285"/>
    <cellStyle name="Обычный 30 3 4" xfId="3286"/>
    <cellStyle name="Обычный 30 4" xfId="3287"/>
    <cellStyle name="Обычный 30 4 2" xfId="3288"/>
    <cellStyle name="Обычный 30 4 2 2" xfId="3289"/>
    <cellStyle name="Обычный 30 4 3" xfId="3290"/>
    <cellStyle name="Обычный 30 5" xfId="3291"/>
    <cellStyle name="Обычный 30 5 2" xfId="3292"/>
    <cellStyle name="Обычный 30 6" xfId="3293"/>
    <cellStyle name="Обычный 31" xfId="3294"/>
    <cellStyle name="Обычный 31 2" xfId="3295"/>
    <cellStyle name="Обычный 31 2 2" xfId="3296"/>
    <cellStyle name="Обычный 31 2 2 2" xfId="3297"/>
    <cellStyle name="Обычный 31 2 2 2 2" xfId="3298"/>
    <cellStyle name="Обычный 31 2 2 2 2 2" xfId="3299"/>
    <cellStyle name="Обычный 31 2 2 2 3" xfId="3300"/>
    <cellStyle name="Обычный 31 2 2 3" xfId="3301"/>
    <cellStyle name="Обычный 31 2 2 3 2" xfId="3302"/>
    <cellStyle name="Обычный 31 2 2 4" xfId="3303"/>
    <cellStyle name="Обычный 31 2 3" xfId="3304"/>
    <cellStyle name="Обычный 31 2 3 2" xfId="3305"/>
    <cellStyle name="Обычный 31 2 3 2 2" xfId="3306"/>
    <cellStyle name="Обычный 31 2 3 3" xfId="3307"/>
    <cellStyle name="Обычный 31 2 4" xfId="3308"/>
    <cellStyle name="Обычный 31 2 4 2" xfId="3309"/>
    <cellStyle name="Обычный 31 2 5" xfId="3310"/>
    <cellStyle name="Обычный 31 3" xfId="3311"/>
    <cellStyle name="Обычный 31 3 2" xfId="3312"/>
    <cellStyle name="Обычный 31 3 2 2" xfId="3313"/>
    <cellStyle name="Обычный 31 3 2 2 2" xfId="3314"/>
    <cellStyle name="Обычный 31 3 2 3" xfId="3315"/>
    <cellStyle name="Обычный 31 3 3" xfId="3316"/>
    <cellStyle name="Обычный 31 3 3 2" xfId="3317"/>
    <cellStyle name="Обычный 31 3 4" xfId="3318"/>
    <cellStyle name="Обычный 31 4" xfId="3319"/>
    <cellStyle name="Обычный 31 4 2" xfId="3320"/>
    <cellStyle name="Обычный 31 4 2 2" xfId="3321"/>
    <cellStyle name="Обычный 31 4 3" xfId="3322"/>
    <cellStyle name="Обычный 31 5" xfId="3323"/>
    <cellStyle name="Обычный 31 5 2" xfId="3324"/>
    <cellStyle name="Обычный 31 6" xfId="3325"/>
    <cellStyle name="Обычный 32" xfId="3326"/>
    <cellStyle name="Обычный 32 2" xfId="3327"/>
    <cellStyle name="Обычный 32 2 2" xfId="3328"/>
    <cellStyle name="Обычный 32 2 2 2" xfId="3329"/>
    <cellStyle name="Обычный 32 2 2 2 2" xfId="3330"/>
    <cellStyle name="Обычный 32 2 2 2 2 2" xfId="3331"/>
    <cellStyle name="Обычный 32 2 2 2 3" xfId="3332"/>
    <cellStyle name="Обычный 32 2 2 3" xfId="3333"/>
    <cellStyle name="Обычный 32 2 2 3 2" xfId="3334"/>
    <cellStyle name="Обычный 32 2 2 4" xfId="3335"/>
    <cellStyle name="Обычный 32 2 3" xfId="3336"/>
    <cellStyle name="Обычный 32 2 3 2" xfId="3337"/>
    <cellStyle name="Обычный 32 2 3 2 2" xfId="3338"/>
    <cellStyle name="Обычный 32 2 3 3" xfId="3339"/>
    <cellStyle name="Обычный 32 2 4" xfId="3340"/>
    <cellStyle name="Обычный 32 2 4 2" xfId="3341"/>
    <cellStyle name="Обычный 32 2 5" xfId="3342"/>
    <cellStyle name="Обычный 32 3" xfId="3343"/>
    <cellStyle name="Обычный 32 3 2" xfId="3344"/>
    <cellStyle name="Обычный 32 3 2 2" xfId="3345"/>
    <cellStyle name="Обычный 32 3 2 2 2" xfId="3346"/>
    <cellStyle name="Обычный 32 3 2 3" xfId="3347"/>
    <cellStyle name="Обычный 32 3 3" xfId="3348"/>
    <cellStyle name="Обычный 32 3 3 2" xfId="3349"/>
    <cellStyle name="Обычный 32 3 4" xfId="3350"/>
    <cellStyle name="Обычный 32 4" xfId="3351"/>
    <cellStyle name="Обычный 32 4 2" xfId="3352"/>
    <cellStyle name="Обычный 32 4 2 2" xfId="3353"/>
    <cellStyle name="Обычный 32 4 3" xfId="3354"/>
    <cellStyle name="Обычный 32 5" xfId="3355"/>
    <cellStyle name="Обычный 32 5 2" xfId="3356"/>
    <cellStyle name="Обычный 32 6" xfId="3357"/>
    <cellStyle name="Обычный 33" xfId="3358"/>
    <cellStyle name="Обычный 33 2" xfId="3359"/>
    <cellStyle name="Обычный 33 2 2" xfId="3360"/>
    <cellStyle name="Обычный 33 2 2 2" xfId="3361"/>
    <cellStyle name="Обычный 33 2 2 2 2" xfId="3362"/>
    <cellStyle name="Обычный 33 2 2 2 2 2" xfId="3363"/>
    <cellStyle name="Обычный 33 2 2 2 3" xfId="3364"/>
    <cellStyle name="Обычный 33 2 2 3" xfId="3365"/>
    <cellStyle name="Обычный 33 2 2 3 2" xfId="3366"/>
    <cellStyle name="Обычный 33 2 2 4" xfId="3367"/>
    <cellStyle name="Обычный 33 2 3" xfId="3368"/>
    <cellStyle name="Обычный 33 2 3 2" xfId="3369"/>
    <cellStyle name="Обычный 33 2 3 2 2" xfId="3370"/>
    <cellStyle name="Обычный 33 2 3 3" xfId="3371"/>
    <cellStyle name="Обычный 33 2 4" xfId="3372"/>
    <cellStyle name="Обычный 33 2 4 2" xfId="3373"/>
    <cellStyle name="Обычный 33 2 5" xfId="3374"/>
    <cellStyle name="Обычный 33 3" xfId="3375"/>
    <cellStyle name="Обычный 33 3 2" xfId="3376"/>
    <cellStyle name="Обычный 33 3 2 2" xfId="3377"/>
    <cellStyle name="Обычный 33 3 2 2 2" xfId="3378"/>
    <cellStyle name="Обычный 33 3 2 3" xfId="3379"/>
    <cellStyle name="Обычный 33 3 3" xfId="3380"/>
    <cellStyle name="Обычный 33 3 3 2" xfId="3381"/>
    <cellStyle name="Обычный 33 3 4" xfId="3382"/>
    <cellStyle name="Обычный 33 4" xfId="3383"/>
    <cellStyle name="Обычный 33 4 2" xfId="3384"/>
    <cellStyle name="Обычный 33 4 2 2" xfId="3385"/>
    <cellStyle name="Обычный 33 4 3" xfId="3386"/>
    <cellStyle name="Обычный 33 5" xfId="3387"/>
    <cellStyle name="Обычный 33 5 2" xfId="3388"/>
    <cellStyle name="Обычный 33 6" xfId="3389"/>
    <cellStyle name="Обычный 34" xfId="3390"/>
    <cellStyle name="Обычный 34 2" xfId="3391"/>
    <cellStyle name="Обычный 34 2 2" xfId="3392"/>
    <cellStyle name="Обычный 34 3" xfId="3393"/>
    <cellStyle name="Обычный 35" xfId="3394"/>
    <cellStyle name="Обычный 36" xfId="3395"/>
    <cellStyle name="Обычный 36 2" xfId="3396"/>
    <cellStyle name="Обычный 36 2 2" xfId="3397"/>
    <cellStyle name="Обычный 36 2 2 2" xfId="3398"/>
    <cellStyle name="Обычный 36 2 3" xfId="3399"/>
    <cellStyle name="Обычный 36 3" xfId="3400"/>
    <cellStyle name="Обычный 36 3 2" xfId="3401"/>
    <cellStyle name="Обычный 36 4" xfId="3402"/>
    <cellStyle name="Обычный 37" xfId="3403"/>
    <cellStyle name="Обычный 38" xfId="3404"/>
    <cellStyle name="Обычный 39" xfId="3405"/>
    <cellStyle name="Обычный 4" xfId="3406"/>
    <cellStyle name="Обычный 4 2" xfId="3407"/>
    <cellStyle name="Обычный 4 2 2" xfId="3408"/>
    <cellStyle name="Обычный 4 2 2 2" xfId="3409"/>
    <cellStyle name="Обычный 4 2 3" xfId="3410"/>
    <cellStyle name="Обычный 4 2 4" xfId="3411"/>
    <cellStyle name="Обычный 4 2 5" xfId="3412"/>
    <cellStyle name="Обычный 4 3" xfId="3413"/>
    <cellStyle name="Обычный 4 3 2" xfId="3414"/>
    <cellStyle name="Обычный 4 3 3" xfId="3415"/>
    <cellStyle name="Обычный 4 4" xfId="3416"/>
    <cellStyle name="Обычный 4 4 2" xfId="3417"/>
    <cellStyle name="Обычный 4 5" xfId="3418"/>
    <cellStyle name="Обычный 4 6" xfId="3419"/>
    <cellStyle name="Обычный 4 7" xfId="3420"/>
    <cellStyle name="Обычный 5" xfId="3421"/>
    <cellStyle name="Обычный 5 2" xfId="3422"/>
    <cellStyle name="Обычный 5 2 2" xfId="3423"/>
    <cellStyle name="Обычный 5 2 2 2" xfId="3424"/>
    <cellStyle name="Обычный 5 2 3" xfId="3425"/>
    <cellStyle name="Обычный 5 2 4" xfId="3426"/>
    <cellStyle name="Обычный 5 3" xfId="3427"/>
    <cellStyle name="Обычный 5 3 2" xfId="3428"/>
    <cellStyle name="Обычный 5 3 3" xfId="3429"/>
    <cellStyle name="Обычный 5 4" xfId="3430"/>
    <cellStyle name="Обычный 5 4 2" xfId="3431"/>
    <cellStyle name="Обычный 5 5" xfId="3432"/>
    <cellStyle name="Обычный 5 5 2" xfId="3433"/>
    <cellStyle name="Обычный 5 6" xfId="3434"/>
    <cellStyle name="Обычный 6" xfId="3435"/>
    <cellStyle name="Обычный 6 10" xfId="3436"/>
    <cellStyle name="Обычный 6 11" xfId="3437"/>
    <cellStyle name="Обычный 6 12" xfId="3438"/>
    <cellStyle name="Обычный 6 2" xfId="3439"/>
    <cellStyle name="Обычный 6 2 10" xfId="3440"/>
    <cellStyle name="Обычный 6 2 2" xfId="3441"/>
    <cellStyle name="Обычный 6 2 2 2" xfId="3442"/>
    <cellStyle name="Обычный 6 2 2 2 2" xfId="3443"/>
    <cellStyle name="Обычный 6 2 2 2 2 2" xfId="3444"/>
    <cellStyle name="Обычный 6 2 2 2 2 2 2" xfId="3445"/>
    <cellStyle name="Обычный 6 2 2 2 2 2 2 2" xfId="3446"/>
    <cellStyle name="Обычный 6 2 2 2 2 2 2 2 2" xfId="3447"/>
    <cellStyle name="Обычный 6 2 2 2 2 2 2 3" xfId="3448"/>
    <cellStyle name="Обычный 6 2 2 2 2 2 3" xfId="3449"/>
    <cellStyle name="Обычный 6 2 2 2 2 2 3 2" xfId="3450"/>
    <cellStyle name="Обычный 6 2 2 2 2 2 4" xfId="3451"/>
    <cellStyle name="Обычный 6 2 2 2 2 3" xfId="3452"/>
    <cellStyle name="Обычный 6 2 2 2 2 3 2" xfId="3453"/>
    <cellStyle name="Обычный 6 2 2 2 2 3 2 2" xfId="3454"/>
    <cellStyle name="Обычный 6 2 2 2 2 3 3" xfId="3455"/>
    <cellStyle name="Обычный 6 2 2 2 2 4" xfId="3456"/>
    <cellStyle name="Обычный 6 2 2 2 2 4 2" xfId="3457"/>
    <cellStyle name="Обычный 6 2 2 2 2 5" xfId="3458"/>
    <cellStyle name="Обычный 6 2 2 2 3" xfId="3459"/>
    <cellStyle name="Обычный 6 2 2 2 3 2" xfId="3460"/>
    <cellStyle name="Обычный 6 2 2 2 3 2 2" xfId="3461"/>
    <cellStyle name="Обычный 6 2 2 2 3 2 2 2" xfId="3462"/>
    <cellStyle name="Обычный 6 2 2 2 3 2 3" xfId="3463"/>
    <cellStyle name="Обычный 6 2 2 2 3 3" xfId="3464"/>
    <cellStyle name="Обычный 6 2 2 2 3 3 2" xfId="3465"/>
    <cellStyle name="Обычный 6 2 2 2 3 4" xfId="3466"/>
    <cellStyle name="Обычный 6 2 2 2 4" xfId="3467"/>
    <cellStyle name="Обычный 6 2 2 2 4 2" xfId="3468"/>
    <cellStyle name="Обычный 6 2 2 2 4 2 2" xfId="3469"/>
    <cellStyle name="Обычный 6 2 2 2 4 3" xfId="3470"/>
    <cellStyle name="Обычный 6 2 2 2 5" xfId="3471"/>
    <cellStyle name="Обычный 6 2 2 2 5 2" xfId="3472"/>
    <cellStyle name="Обычный 6 2 2 2 6" xfId="3473"/>
    <cellStyle name="Обычный 6 2 2 3" xfId="3474"/>
    <cellStyle name="Обычный 6 2 2 3 2" xfId="3475"/>
    <cellStyle name="Обычный 6 2 2 3 2 2" xfId="3476"/>
    <cellStyle name="Обычный 6 2 2 3 2 2 2" xfId="3477"/>
    <cellStyle name="Обычный 6 2 2 3 2 2 2 2" xfId="3478"/>
    <cellStyle name="Обычный 6 2 2 3 2 2 3" xfId="3479"/>
    <cellStyle name="Обычный 6 2 2 3 2 3" xfId="3480"/>
    <cellStyle name="Обычный 6 2 2 3 2 3 2" xfId="3481"/>
    <cellStyle name="Обычный 6 2 2 3 2 4" xfId="3482"/>
    <cellStyle name="Обычный 6 2 2 3 3" xfId="3483"/>
    <cellStyle name="Обычный 6 2 2 3 3 2" xfId="3484"/>
    <cellStyle name="Обычный 6 2 2 3 3 2 2" xfId="3485"/>
    <cellStyle name="Обычный 6 2 2 3 3 3" xfId="3486"/>
    <cellStyle name="Обычный 6 2 2 3 4" xfId="3487"/>
    <cellStyle name="Обычный 6 2 2 3 4 2" xfId="3488"/>
    <cellStyle name="Обычный 6 2 2 3 5" xfId="3489"/>
    <cellStyle name="Обычный 6 2 2 4" xfId="3490"/>
    <cellStyle name="Обычный 6 2 2 4 2" xfId="3491"/>
    <cellStyle name="Обычный 6 2 2 4 2 2" xfId="3492"/>
    <cellStyle name="Обычный 6 2 2 4 2 2 2" xfId="3493"/>
    <cellStyle name="Обычный 6 2 2 4 2 3" xfId="3494"/>
    <cellStyle name="Обычный 6 2 2 4 3" xfId="3495"/>
    <cellStyle name="Обычный 6 2 2 4 3 2" xfId="3496"/>
    <cellStyle name="Обычный 6 2 2 4 4" xfId="3497"/>
    <cellStyle name="Обычный 6 2 2 5" xfId="3498"/>
    <cellStyle name="Обычный 6 2 2 5 2" xfId="3499"/>
    <cellStyle name="Обычный 6 2 2 5 2 2" xfId="3500"/>
    <cellStyle name="Обычный 6 2 2 5 3" xfId="3501"/>
    <cellStyle name="Обычный 6 2 2 6" xfId="3502"/>
    <cellStyle name="Обычный 6 2 2 6 2" xfId="3503"/>
    <cellStyle name="Обычный 6 2 2 7" xfId="3504"/>
    <cellStyle name="Обычный 6 2 3" xfId="3505"/>
    <cellStyle name="Обычный 6 2 3 2" xfId="3506"/>
    <cellStyle name="Обычный 6 2 3 2 2" xfId="3507"/>
    <cellStyle name="Обычный 6 2 3 2 2 2" xfId="3508"/>
    <cellStyle name="Обычный 6 2 3 2 2 2 2" xfId="3509"/>
    <cellStyle name="Обычный 6 2 3 2 2 2 2 2" xfId="3510"/>
    <cellStyle name="Обычный 6 2 3 2 2 2 3" xfId="3511"/>
    <cellStyle name="Обычный 6 2 3 2 2 3" xfId="3512"/>
    <cellStyle name="Обычный 6 2 3 2 2 3 2" xfId="3513"/>
    <cellStyle name="Обычный 6 2 3 2 2 4" xfId="3514"/>
    <cellStyle name="Обычный 6 2 3 2 3" xfId="3515"/>
    <cellStyle name="Обычный 6 2 3 2 3 2" xfId="3516"/>
    <cellStyle name="Обычный 6 2 3 2 3 2 2" xfId="3517"/>
    <cellStyle name="Обычный 6 2 3 2 3 3" xfId="3518"/>
    <cellStyle name="Обычный 6 2 3 2 4" xfId="3519"/>
    <cellStyle name="Обычный 6 2 3 2 4 2" xfId="3520"/>
    <cellStyle name="Обычный 6 2 3 2 5" xfId="3521"/>
    <cellStyle name="Обычный 6 2 3 3" xfId="3522"/>
    <cellStyle name="Обычный 6 2 3 3 2" xfId="3523"/>
    <cellStyle name="Обычный 6 2 3 3 2 2" xfId="3524"/>
    <cellStyle name="Обычный 6 2 3 3 2 2 2" xfId="3525"/>
    <cellStyle name="Обычный 6 2 3 3 2 3" xfId="3526"/>
    <cellStyle name="Обычный 6 2 3 3 3" xfId="3527"/>
    <cellStyle name="Обычный 6 2 3 3 3 2" xfId="3528"/>
    <cellStyle name="Обычный 6 2 3 3 4" xfId="3529"/>
    <cellStyle name="Обычный 6 2 3 4" xfId="3530"/>
    <cellStyle name="Обычный 6 2 3 4 2" xfId="3531"/>
    <cellStyle name="Обычный 6 2 3 4 2 2" xfId="3532"/>
    <cellStyle name="Обычный 6 2 3 4 3" xfId="3533"/>
    <cellStyle name="Обычный 6 2 3 5" xfId="3534"/>
    <cellStyle name="Обычный 6 2 3 5 2" xfId="3535"/>
    <cellStyle name="Обычный 6 2 3 6" xfId="3536"/>
    <cellStyle name="Обычный 6 2 4" xfId="3537"/>
    <cellStyle name="Обычный 6 2 4 2" xfId="3538"/>
    <cellStyle name="Обычный 6 2 4 2 2" xfId="3539"/>
    <cellStyle name="Обычный 6 2 4 2 2 2" xfId="3540"/>
    <cellStyle name="Обычный 6 2 4 2 2 2 2" xfId="3541"/>
    <cellStyle name="Обычный 6 2 4 2 2 2 2 2" xfId="3542"/>
    <cellStyle name="Обычный 6 2 4 2 2 2 3" xfId="3543"/>
    <cellStyle name="Обычный 6 2 4 2 2 3" xfId="3544"/>
    <cellStyle name="Обычный 6 2 4 2 2 3 2" xfId="3545"/>
    <cellStyle name="Обычный 6 2 4 2 2 4" xfId="3546"/>
    <cellStyle name="Обычный 6 2 4 2 3" xfId="3547"/>
    <cellStyle name="Обычный 6 2 4 2 3 2" xfId="3548"/>
    <cellStyle name="Обычный 6 2 4 2 3 2 2" xfId="3549"/>
    <cellStyle name="Обычный 6 2 4 2 3 3" xfId="3550"/>
    <cellStyle name="Обычный 6 2 4 2 4" xfId="3551"/>
    <cellStyle name="Обычный 6 2 4 2 4 2" xfId="3552"/>
    <cellStyle name="Обычный 6 2 4 2 5" xfId="3553"/>
    <cellStyle name="Обычный 6 2 4 3" xfId="3554"/>
    <cellStyle name="Обычный 6 2 4 3 2" xfId="3555"/>
    <cellStyle name="Обычный 6 2 4 3 2 2" xfId="3556"/>
    <cellStyle name="Обычный 6 2 4 3 2 2 2" xfId="3557"/>
    <cellStyle name="Обычный 6 2 4 3 2 3" xfId="3558"/>
    <cellStyle name="Обычный 6 2 4 3 3" xfId="3559"/>
    <cellStyle name="Обычный 6 2 4 3 3 2" xfId="3560"/>
    <cellStyle name="Обычный 6 2 4 3 4" xfId="3561"/>
    <cellStyle name="Обычный 6 2 4 4" xfId="3562"/>
    <cellStyle name="Обычный 6 2 4 4 2" xfId="3563"/>
    <cellStyle name="Обычный 6 2 4 4 2 2" xfId="3564"/>
    <cellStyle name="Обычный 6 2 4 4 3" xfId="3565"/>
    <cellStyle name="Обычный 6 2 4 5" xfId="3566"/>
    <cellStyle name="Обычный 6 2 4 5 2" xfId="3567"/>
    <cellStyle name="Обычный 6 2 4 6" xfId="3568"/>
    <cellStyle name="Обычный 6 2 5" xfId="3569"/>
    <cellStyle name="Обычный 6 2 5 2" xfId="3570"/>
    <cellStyle name="Обычный 6 2 5 2 2" xfId="3571"/>
    <cellStyle name="Обычный 6 2 5 2 2 2" xfId="3572"/>
    <cellStyle name="Обычный 6 2 5 2 2 2 2" xfId="3573"/>
    <cellStyle name="Обычный 6 2 5 2 2 3" xfId="3574"/>
    <cellStyle name="Обычный 6 2 5 2 3" xfId="3575"/>
    <cellStyle name="Обычный 6 2 5 2 3 2" xfId="3576"/>
    <cellStyle name="Обычный 6 2 5 2 4" xfId="3577"/>
    <cellStyle name="Обычный 6 2 5 3" xfId="3578"/>
    <cellStyle name="Обычный 6 2 5 3 2" xfId="3579"/>
    <cellStyle name="Обычный 6 2 5 3 2 2" xfId="3580"/>
    <cellStyle name="Обычный 6 2 5 3 3" xfId="3581"/>
    <cellStyle name="Обычный 6 2 5 4" xfId="3582"/>
    <cellStyle name="Обычный 6 2 5 4 2" xfId="3583"/>
    <cellStyle name="Обычный 6 2 5 5" xfId="3584"/>
    <cellStyle name="Обычный 6 2 6" xfId="3585"/>
    <cellStyle name="Обычный 6 2 6 2" xfId="3586"/>
    <cellStyle name="Обычный 6 2 6 2 2" xfId="3587"/>
    <cellStyle name="Обычный 6 2 6 2 2 2" xfId="3588"/>
    <cellStyle name="Обычный 6 2 6 2 3" xfId="3589"/>
    <cellStyle name="Обычный 6 2 6 3" xfId="3590"/>
    <cellStyle name="Обычный 6 2 6 3 2" xfId="3591"/>
    <cellStyle name="Обычный 6 2 6 4" xfId="3592"/>
    <cellStyle name="Обычный 6 2 7" xfId="3593"/>
    <cellStyle name="Обычный 6 2 7 2" xfId="3594"/>
    <cellStyle name="Обычный 6 2 7 2 2" xfId="3595"/>
    <cellStyle name="Обычный 6 2 7 3" xfId="3596"/>
    <cellStyle name="Обычный 6 2 8" xfId="3597"/>
    <cellStyle name="Обычный 6 2 8 2" xfId="3598"/>
    <cellStyle name="Обычный 6 2 9" xfId="3599"/>
    <cellStyle name="Обычный 6 3" xfId="3600"/>
    <cellStyle name="Обычный 6 3 2" xfId="3601"/>
    <cellStyle name="Обычный 6 3 2 2" xfId="3602"/>
    <cellStyle name="Обычный 6 3 2 2 2" xfId="3603"/>
    <cellStyle name="Обычный 6 3 2 2 2 2" xfId="3604"/>
    <cellStyle name="Обычный 6 3 2 2 2 2 2" xfId="3605"/>
    <cellStyle name="Обычный 6 3 2 2 2 2 2 2" xfId="3606"/>
    <cellStyle name="Обычный 6 3 2 2 2 2 3" xfId="3607"/>
    <cellStyle name="Обычный 6 3 2 2 2 3" xfId="3608"/>
    <cellStyle name="Обычный 6 3 2 2 2 3 2" xfId="3609"/>
    <cellStyle name="Обычный 6 3 2 2 2 4" xfId="3610"/>
    <cellStyle name="Обычный 6 3 2 2 3" xfId="3611"/>
    <cellStyle name="Обычный 6 3 2 2 3 2" xfId="3612"/>
    <cellStyle name="Обычный 6 3 2 2 3 2 2" xfId="3613"/>
    <cellStyle name="Обычный 6 3 2 2 3 3" xfId="3614"/>
    <cellStyle name="Обычный 6 3 2 2 4" xfId="3615"/>
    <cellStyle name="Обычный 6 3 2 2 4 2" xfId="3616"/>
    <cellStyle name="Обычный 6 3 2 2 5" xfId="3617"/>
    <cellStyle name="Обычный 6 3 2 3" xfId="3618"/>
    <cellStyle name="Обычный 6 3 2 3 2" xfId="3619"/>
    <cellStyle name="Обычный 6 3 2 3 2 2" xfId="3620"/>
    <cellStyle name="Обычный 6 3 2 3 2 2 2" xfId="3621"/>
    <cellStyle name="Обычный 6 3 2 3 2 3" xfId="3622"/>
    <cellStyle name="Обычный 6 3 2 3 3" xfId="3623"/>
    <cellStyle name="Обычный 6 3 2 3 3 2" xfId="3624"/>
    <cellStyle name="Обычный 6 3 2 3 4" xfId="3625"/>
    <cellStyle name="Обычный 6 3 2 4" xfId="3626"/>
    <cellStyle name="Обычный 6 3 2 4 2" xfId="3627"/>
    <cellStyle name="Обычный 6 3 2 4 2 2" xfId="3628"/>
    <cellStyle name="Обычный 6 3 2 4 3" xfId="3629"/>
    <cellStyle name="Обычный 6 3 2 5" xfId="3630"/>
    <cellStyle name="Обычный 6 3 2 5 2" xfId="3631"/>
    <cellStyle name="Обычный 6 3 2 6" xfId="3632"/>
    <cellStyle name="Обычный 6 3 3" xfId="3633"/>
    <cellStyle name="Обычный 6 3 3 2" xfId="3634"/>
    <cellStyle name="Обычный 6 3 3 2 2" xfId="3635"/>
    <cellStyle name="Обычный 6 3 3 2 2 2" xfId="3636"/>
    <cellStyle name="Обычный 6 3 3 2 2 2 2" xfId="3637"/>
    <cellStyle name="Обычный 6 3 3 2 2 3" xfId="3638"/>
    <cellStyle name="Обычный 6 3 3 2 3" xfId="3639"/>
    <cellStyle name="Обычный 6 3 3 2 3 2" xfId="3640"/>
    <cellStyle name="Обычный 6 3 3 2 4" xfId="3641"/>
    <cellStyle name="Обычный 6 3 3 3" xfId="3642"/>
    <cellStyle name="Обычный 6 3 3 3 2" xfId="3643"/>
    <cellStyle name="Обычный 6 3 3 3 2 2" xfId="3644"/>
    <cellStyle name="Обычный 6 3 3 3 3" xfId="3645"/>
    <cellStyle name="Обычный 6 3 3 4" xfId="3646"/>
    <cellStyle name="Обычный 6 3 3 4 2" xfId="3647"/>
    <cellStyle name="Обычный 6 3 3 5" xfId="3648"/>
    <cellStyle name="Обычный 6 3 4" xfId="3649"/>
    <cellStyle name="Обычный 6 3 4 2" xfId="3650"/>
    <cellStyle name="Обычный 6 3 4 2 2" xfId="3651"/>
    <cellStyle name="Обычный 6 3 4 2 2 2" xfId="3652"/>
    <cellStyle name="Обычный 6 3 4 2 3" xfId="3653"/>
    <cellStyle name="Обычный 6 3 4 3" xfId="3654"/>
    <cellStyle name="Обычный 6 3 4 3 2" xfId="3655"/>
    <cellStyle name="Обычный 6 3 4 4" xfId="3656"/>
    <cellStyle name="Обычный 6 3 5" xfId="3657"/>
    <cellStyle name="Обычный 6 3 5 2" xfId="3658"/>
    <cellStyle name="Обычный 6 3 5 2 2" xfId="3659"/>
    <cellStyle name="Обычный 6 3 5 3" xfId="3660"/>
    <cellStyle name="Обычный 6 3 6" xfId="3661"/>
    <cellStyle name="Обычный 6 3 6 2" xfId="3662"/>
    <cellStyle name="Обычный 6 3 7" xfId="3663"/>
    <cellStyle name="Обычный 6 3 8" xfId="3664"/>
    <cellStyle name="Обычный 6 4" xfId="3665"/>
    <cellStyle name="Обычный 6 4 2" xfId="3666"/>
    <cellStyle name="Обычный 6 4 2 2" xfId="3667"/>
    <cellStyle name="Обычный 6 4 2 2 2" xfId="3668"/>
    <cellStyle name="Обычный 6 4 2 2 2 2" xfId="3669"/>
    <cellStyle name="Обычный 6 4 2 2 2 2 2" xfId="3670"/>
    <cellStyle name="Обычный 6 4 2 2 2 3" xfId="3671"/>
    <cellStyle name="Обычный 6 4 2 2 3" xfId="3672"/>
    <cellStyle name="Обычный 6 4 2 2 3 2" xfId="3673"/>
    <cellStyle name="Обычный 6 4 2 2 4" xfId="3674"/>
    <cellStyle name="Обычный 6 4 2 3" xfId="3675"/>
    <cellStyle name="Обычный 6 4 2 3 2" xfId="3676"/>
    <cellStyle name="Обычный 6 4 2 3 2 2" xfId="3677"/>
    <cellStyle name="Обычный 6 4 2 3 3" xfId="3678"/>
    <cellStyle name="Обычный 6 4 2 4" xfId="3679"/>
    <cellStyle name="Обычный 6 4 2 4 2" xfId="3680"/>
    <cellStyle name="Обычный 6 4 2 5" xfId="3681"/>
    <cellStyle name="Обычный 6 4 3" xfId="3682"/>
    <cellStyle name="Обычный 6 4 3 2" xfId="3683"/>
    <cellStyle name="Обычный 6 4 3 2 2" xfId="3684"/>
    <cellStyle name="Обычный 6 4 3 2 2 2" xfId="3685"/>
    <cellStyle name="Обычный 6 4 3 2 3" xfId="3686"/>
    <cellStyle name="Обычный 6 4 3 3" xfId="3687"/>
    <cellStyle name="Обычный 6 4 3 3 2" xfId="3688"/>
    <cellStyle name="Обычный 6 4 3 4" xfId="3689"/>
    <cellStyle name="Обычный 6 4 4" xfId="3690"/>
    <cellStyle name="Обычный 6 4 4 2" xfId="3691"/>
    <cellStyle name="Обычный 6 4 4 2 2" xfId="3692"/>
    <cellStyle name="Обычный 6 4 4 3" xfId="3693"/>
    <cellStyle name="Обычный 6 4 5" xfId="3694"/>
    <cellStyle name="Обычный 6 4 5 2" xfId="3695"/>
    <cellStyle name="Обычный 6 4 6" xfId="3696"/>
    <cellStyle name="Обычный 6 4 7" xfId="3697"/>
    <cellStyle name="Обычный 6 5" xfId="3698"/>
    <cellStyle name="Обычный 6 5 2" xfId="3699"/>
    <cellStyle name="Обычный 6 5 2 2" xfId="3700"/>
    <cellStyle name="Обычный 6 5 2 2 2" xfId="3701"/>
    <cellStyle name="Обычный 6 5 2 2 2 2" xfId="3702"/>
    <cellStyle name="Обычный 6 5 2 2 2 2 2" xfId="3703"/>
    <cellStyle name="Обычный 6 5 2 2 2 3" xfId="3704"/>
    <cellStyle name="Обычный 6 5 2 2 3" xfId="3705"/>
    <cellStyle name="Обычный 6 5 2 2 3 2" xfId="3706"/>
    <cellStyle name="Обычный 6 5 2 2 4" xfId="3707"/>
    <cellStyle name="Обычный 6 5 2 3" xfId="3708"/>
    <cellStyle name="Обычный 6 5 2 3 2" xfId="3709"/>
    <cellStyle name="Обычный 6 5 2 3 2 2" xfId="3710"/>
    <cellStyle name="Обычный 6 5 2 3 3" xfId="3711"/>
    <cellStyle name="Обычный 6 5 2 4" xfId="3712"/>
    <cellStyle name="Обычный 6 5 2 4 2" xfId="3713"/>
    <cellStyle name="Обычный 6 5 2 5" xfId="3714"/>
    <cellStyle name="Обычный 6 5 3" xfId="3715"/>
    <cellStyle name="Обычный 6 5 3 2" xfId="3716"/>
    <cellStyle name="Обычный 6 5 3 2 2" xfId="3717"/>
    <cellStyle name="Обычный 6 5 3 2 2 2" xfId="3718"/>
    <cellStyle name="Обычный 6 5 3 2 3" xfId="3719"/>
    <cellStyle name="Обычный 6 5 3 3" xfId="3720"/>
    <cellStyle name="Обычный 6 5 3 3 2" xfId="3721"/>
    <cellStyle name="Обычный 6 5 3 4" xfId="3722"/>
    <cellStyle name="Обычный 6 5 4" xfId="3723"/>
    <cellStyle name="Обычный 6 5 4 2" xfId="3724"/>
    <cellStyle name="Обычный 6 5 4 2 2" xfId="3725"/>
    <cellStyle name="Обычный 6 5 4 3" xfId="3726"/>
    <cellStyle name="Обычный 6 5 5" xfId="3727"/>
    <cellStyle name="Обычный 6 5 5 2" xfId="3728"/>
    <cellStyle name="Обычный 6 5 6" xfId="3729"/>
    <cellStyle name="Обычный 6 6" xfId="3730"/>
    <cellStyle name="Обычный 6 6 2" xfId="3731"/>
    <cellStyle name="Обычный 6 6 2 2" xfId="3732"/>
    <cellStyle name="Обычный 6 6 2 2 2" xfId="3733"/>
    <cellStyle name="Обычный 6 6 2 2 2 2" xfId="3734"/>
    <cellStyle name="Обычный 6 6 2 2 3" xfId="3735"/>
    <cellStyle name="Обычный 6 6 2 3" xfId="3736"/>
    <cellStyle name="Обычный 6 6 2 3 2" xfId="3737"/>
    <cellStyle name="Обычный 6 6 2 4" xfId="3738"/>
    <cellStyle name="Обычный 6 6 3" xfId="3739"/>
    <cellStyle name="Обычный 6 6 3 2" xfId="3740"/>
    <cellStyle name="Обычный 6 6 3 2 2" xfId="3741"/>
    <cellStyle name="Обычный 6 6 3 3" xfId="3742"/>
    <cellStyle name="Обычный 6 6 4" xfId="3743"/>
    <cellStyle name="Обычный 6 6 4 2" xfId="3744"/>
    <cellStyle name="Обычный 6 6 5" xfId="3745"/>
    <cellStyle name="Обычный 6 7" xfId="3746"/>
    <cellStyle name="Обычный 6 7 2" xfId="3747"/>
    <cellStyle name="Обычный 6 7 2 2" xfId="3748"/>
    <cellStyle name="Обычный 6 7 2 2 2" xfId="3749"/>
    <cellStyle name="Обычный 6 7 2 3" xfId="3750"/>
    <cellStyle name="Обычный 6 7 3" xfId="3751"/>
    <cellStyle name="Обычный 6 7 3 2" xfId="3752"/>
    <cellStyle name="Обычный 6 7 4" xfId="3753"/>
    <cellStyle name="Обычный 6 8" xfId="3754"/>
    <cellStyle name="Обычный 6 8 2" xfId="3755"/>
    <cellStyle name="Обычный 6 8 2 2" xfId="3756"/>
    <cellStyle name="Обычный 6 8 3" xfId="3757"/>
    <cellStyle name="Обычный 6 9" xfId="3758"/>
    <cellStyle name="Обычный 6 9 2" xfId="3759"/>
    <cellStyle name="Обычный 7" xfId="3760"/>
    <cellStyle name="Обычный 7 2" xfId="3761"/>
    <cellStyle name="Обычный 7 2 2" xfId="3762"/>
    <cellStyle name="Обычный 7 3" xfId="3763"/>
    <cellStyle name="Обычный 7 3 2" xfId="3764"/>
    <cellStyle name="Обычный 7 4" xfId="3765"/>
    <cellStyle name="Обычный 8" xfId="3766"/>
    <cellStyle name="Обычный 8 2" xfId="3767"/>
    <cellStyle name="Обычный 8 2 2" xfId="3768"/>
    <cellStyle name="Обычный 8 3" xfId="3769"/>
    <cellStyle name="Обычный 9" xfId="3770"/>
    <cellStyle name="Обычный 9 2" xfId="3771"/>
    <cellStyle name="Обычный 9 2 2" xfId="3772"/>
    <cellStyle name="Обычный 9 3" xfId="3773"/>
    <cellStyle name="Открывавшаяся гиперссылка 10" xfId="3774"/>
    <cellStyle name="Открывавшаяся гиперссылка 100" xfId="3775"/>
    <cellStyle name="Открывавшаяся гиперссылка 101" xfId="3776"/>
    <cellStyle name="Открывавшаяся гиперссылка 102" xfId="3777"/>
    <cellStyle name="Открывавшаяся гиперссылка 103" xfId="3778"/>
    <cellStyle name="Открывавшаяся гиперссылка 104" xfId="3779"/>
    <cellStyle name="Открывавшаяся гиперссылка 105" xfId="3780"/>
    <cellStyle name="Открывавшаяся гиперссылка 106" xfId="3781"/>
    <cellStyle name="Открывавшаяся гиперссылка 107" xfId="3782"/>
    <cellStyle name="Открывавшаяся гиперссылка 108" xfId="3783"/>
    <cellStyle name="Открывавшаяся гиперссылка 109" xfId="3784"/>
    <cellStyle name="Открывавшаяся гиперссылка 11" xfId="3785"/>
    <cellStyle name="Открывавшаяся гиперссылка 110" xfId="3786"/>
    <cellStyle name="Открывавшаяся гиперссылка 111" xfId="3787"/>
    <cellStyle name="Открывавшаяся гиперссылка 112" xfId="3788"/>
    <cellStyle name="Открывавшаяся гиперссылка 113" xfId="3789"/>
    <cellStyle name="Открывавшаяся гиперссылка 114" xfId="3790"/>
    <cellStyle name="Открывавшаяся гиперссылка 115" xfId="3791"/>
    <cellStyle name="Открывавшаяся гиперссылка 116" xfId="3792"/>
    <cellStyle name="Открывавшаяся гиперссылка 117" xfId="3793"/>
    <cellStyle name="Открывавшаяся гиперссылка 118" xfId="3794"/>
    <cellStyle name="Открывавшаяся гиперссылка 119" xfId="3795"/>
    <cellStyle name="Открывавшаяся гиперссылка 12" xfId="3796"/>
    <cellStyle name="Открывавшаяся гиперссылка 120" xfId="3797"/>
    <cellStyle name="Открывавшаяся гиперссылка 121" xfId="3798"/>
    <cellStyle name="Открывавшаяся гиперссылка 122" xfId="3799"/>
    <cellStyle name="Открывавшаяся гиперссылка 123" xfId="3800"/>
    <cellStyle name="Открывавшаяся гиперссылка 124" xfId="3801"/>
    <cellStyle name="Открывавшаяся гиперссылка 125" xfId="3802"/>
    <cellStyle name="Открывавшаяся гиперссылка 126" xfId="3803"/>
    <cellStyle name="Открывавшаяся гиперссылка 127" xfId="3804"/>
    <cellStyle name="Открывавшаяся гиперссылка 128" xfId="3805"/>
    <cellStyle name="Открывавшаяся гиперссылка 129" xfId="3806"/>
    <cellStyle name="Открывавшаяся гиперссылка 13" xfId="3807"/>
    <cellStyle name="Открывавшаяся гиперссылка 130" xfId="3808"/>
    <cellStyle name="Открывавшаяся гиперссылка 131" xfId="3809"/>
    <cellStyle name="Открывавшаяся гиперссылка 132" xfId="3810"/>
    <cellStyle name="Открывавшаяся гиперссылка 133" xfId="3811"/>
    <cellStyle name="Открывавшаяся гиперссылка 134" xfId="3812"/>
    <cellStyle name="Открывавшаяся гиперссылка 135" xfId="3813"/>
    <cellStyle name="Открывавшаяся гиперссылка 136" xfId="3814"/>
    <cellStyle name="Открывавшаяся гиперссылка 137" xfId="3815"/>
    <cellStyle name="Открывавшаяся гиперссылка 138" xfId="3816"/>
    <cellStyle name="Открывавшаяся гиперссылка 139" xfId="3817"/>
    <cellStyle name="Открывавшаяся гиперссылка 14" xfId="3818"/>
    <cellStyle name="Открывавшаяся гиперссылка 140" xfId="3819"/>
    <cellStyle name="Открывавшаяся гиперссылка 141" xfId="3820"/>
    <cellStyle name="Открывавшаяся гиперссылка 142" xfId="3821"/>
    <cellStyle name="Открывавшаяся гиперссылка 143" xfId="3822"/>
    <cellStyle name="Открывавшаяся гиперссылка 144" xfId="3823"/>
    <cellStyle name="Открывавшаяся гиперссылка 145" xfId="3824"/>
    <cellStyle name="Открывавшаяся гиперссылка 146" xfId="3825"/>
    <cellStyle name="Открывавшаяся гиперссылка 147" xfId="3826"/>
    <cellStyle name="Открывавшаяся гиперссылка 148" xfId="3827"/>
    <cellStyle name="Открывавшаяся гиперссылка 149" xfId="3828"/>
    <cellStyle name="Открывавшаяся гиперссылка 15" xfId="3829"/>
    <cellStyle name="Открывавшаяся гиперссылка 150" xfId="3830"/>
    <cellStyle name="Открывавшаяся гиперссылка 151" xfId="3831"/>
    <cellStyle name="Открывавшаяся гиперссылка 152" xfId="3832"/>
    <cellStyle name="Открывавшаяся гиперссылка 153" xfId="3833"/>
    <cellStyle name="Открывавшаяся гиперссылка 154" xfId="3834"/>
    <cellStyle name="Открывавшаяся гиперссылка 155" xfId="3835"/>
    <cellStyle name="Открывавшаяся гиперссылка 156" xfId="3836"/>
    <cellStyle name="Открывавшаяся гиперссылка 157" xfId="3837"/>
    <cellStyle name="Открывавшаяся гиперссылка 158" xfId="3838"/>
    <cellStyle name="Открывавшаяся гиперссылка 159" xfId="3839"/>
    <cellStyle name="Открывавшаяся гиперссылка 16" xfId="3840"/>
    <cellStyle name="Открывавшаяся гиперссылка 160" xfId="3841"/>
    <cellStyle name="Открывавшаяся гиперссылка 161" xfId="3842"/>
    <cellStyle name="Открывавшаяся гиперссылка 162" xfId="3843"/>
    <cellStyle name="Открывавшаяся гиперссылка 163" xfId="3844"/>
    <cellStyle name="Открывавшаяся гиперссылка 164" xfId="3845"/>
    <cellStyle name="Открывавшаяся гиперссылка 165" xfId="3846"/>
    <cellStyle name="Открывавшаяся гиперссылка 166" xfId="3847"/>
    <cellStyle name="Открывавшаяся гиперссылка 167" xfId="3848"/>
    <cellStyle name="Открывавшаяся гиперссылка 168" xfId="3849"/>
    <cellStyle name="Открывавшаяся гиперссылка 169" xfId="3850"/>
    <cellStyle name="Открывавшаяся гиперссылка 17" xfId="3851"/>
    <cellStyle name="Открывавшаяся гиперссылка 170" xfId="3852"/>
    <cellStyle name="Открывавшаяся гиперссылка 171" xfId="3853"/>
    <cellStyle name="Открывавшаяся гиперссылка 172" xfId="3854"/>
    <cellStyle name="Открывавшаяся гиперссылка 173" xfId="3855"/>
    <cellStyle name="Открывавшаяся гиперссылка 174" xfId="3856"/>
    <cellStyle name="Открывавшаяся гиперссылка 175" xfId="3857"/>
    <cellStyle name="Открывавшаяся гиперссылка 176" xfId="3858"/>
    <cellStyle name="Открывавшаяся гиперссылка 177" xfId="3859"/>
    <cellStyle name="Открывавшаяся гиперссылка 178" xfId="3860"/>
    <cellStyle name="Открывавшаяся гиперссылка 179" xfId="3861"/>
    <cellStyle name="Открывавшаяся гиперссылка 18" xfId="3862"/>
    <cellStyle name="Открывавшаяся гиперссылка 180" xfId="3863"/>
    <cellStyle name="Открывавшаяся гиперссылка 181" xfId="3864"/>
    <cellStyle name="Открывавшаяся гиперссылка 182" xfId="3865"/>
    <cellStyle name="Открывавшаяся гиперссылка 183" xfId="3866"/>
    <cellStyle name="Открывавшаяся гиперссылка 184" xfId="3867"/>
    <cellStyle name="Открывавшаяся гиперссылка 185" xfId="3868"/>
    <cellStyle name="Открывавшаяся гиперссылка 186" xfId="3869"/>
    <cellStyle name="Открывавшаяся гиперссылка 187" xfId="3870"/>
    <cellStyle name="Открывавшаяся гиперссылка 188" xfId="3871"/>
    <cellStyle name="Открывавшаяся гиперссылка 189" xfId="3872"/>
    <cellStyle name="Открывавшаяся гиперссылка 19" xfId="3873"/>
    <cellStyle name="Открывавшаяся гиперссылка 190" xfId="3874"/>
    <cellStyle name="Открывавшаяся гиперссылка 191" xfId="3875"/>
    <cellStyle name="Открывавшаяся гиперссылка 2" xfId="3876"/>
    <cellStyle name="Открывавшаяся гиперссылка 20" xfId="3877"/>
    <cellStyle name="Открывавшаяся гиперссылка 21" xfId="3878"/>
    <cellStyle name="Открывавшаяся гиперссылка 22" xfId="3879"/>
    <cellStyle name="Открывавшаяся гиперссылка 23" xfId="3880"/>
    <cellStyle name="Открывавшаяся гиперссылка 24" xfId="3881"/>
    <cellStyle name="Открывавшаяся гиперссылка 25" xfId="3882"/>
    <cellStyle name="Открывавшаяся гиперссылка 26" xfId="3883"/>
    <cellStyle name="Открывавшаяся гиперссылка 27" xfId="3884"/>
    <cellStyle name="Открывавшаяся гиперссылка 28" xfId="3885"/>
    <cellStyle name="Открывавшаяся гиперссылка 29" xfId="3886"/>
    <cellStyle name="Открывавшаяся гиперссылка 3" xfId="3887"/>
    <cellStyle name="Открывавшаяся гиперссылка 30" xfId="3888"/>
    <cellStyle name="Открывавшаяся гиперссылка 31" xfId="3889"/>
    <cellStyle name="Открывавшаяся гиперссылка 32" xfId="3890"/>
    <cellStyle name="Открывавшаяся гиперссылка 33" xfId="3891"/>
    <cellStyle name="Открывавшаяся гиперссылка 34" xfId="3892"/>
    <cellStyle name="Открывавшаяся гиперссылка 35" xfId="3893"/>
    <cellStyle name="Открывавшаяся гиперссылка 36" xfId="3894"/>
    <cellStyle name="Открывавшаяся гиперссылка 37" xfId="3895"/>
    <cellStyle name="Открывавшаяся гиперссылка 38" xfId="3896"/>
    <cellStyle name="Открывавшаяся гиперссылка 39" xfId="3897"/>
    <cellStyle name="Открывавшаяся гиперссылка 4" xfId="3898"/>
    <cellStyle name="Открывавшаяся гиперссылка 40" xfId="3899"/>
    <cellStyle name="Открывавшаяся гиперссылка 41" xfId="3900"/>
    <cellStyle name="Открывавшаяся гиперссылка 42" xfId="3901"/>
    <cellStyle name="Открывавшаяся гиперссылка 43" xfId="3902"/>
    <cellStyle name="Открывавшаяся гиперссылка 44" xfId="3903"/>
    <cellStyle name="Открывавшаяся гиперссылка 45" xfId="3904"/>
    <cellStyle name="Открывавшаяся гиперссылка 46" xfId="3905"/>
    <cellStyle name="Открывавшаяся гиперссылка 47" xfId="3906"/>
    <cellStyle name="Открывавшаяся гиперссылка 48" xfId="3907"/>
    <cellStyle name="Открывавшаяся гиперссылка 49" xfId="3908"/>
    <cellStyle name="Открывавшаяся гиперссылка 5" xfId="3909"/>
    <cellStyle name="Открывавшаяся гиперссылка 50" xfId="3910"/>
    <cellStyle name="Открывавшаяся гиперссылка 51" xfId="3911"/>
    <cellStyle name="Открывавшаяся гиперссылка 52" xfId="3912"/>
    <cellStyle name="Открывавшаяся гиперссылка 53" xfId="3913"/>
    <cellStyle name="Открывавшаяся гиперссылка 54" xfId="3914"/>
    <cellStyle name="Открывавшаяся гиперссылка 55" xfId="3915"/>
    <cellStyle name="Открывавшаяся гиперссылка 56" xfId="3916"/>
    <cellStyle name="Открывавшаяся гиперссылка 57" xfId="3917"/>
    <cellStyle name="Открывавшаяся гиперссылка 58" xfId="3918"/>
    <cellStyle name="Открывавшаяся гиперссылка 59" xfId="3919"/>
    <cellStyle name="Открывавшаяся гиперссылка 6" xfId="3920"/>
    <cellStyle name="Открывавшаяся гиперссылка 60" xfId="3921"/>
    <cellStyle name="Открывавшаяся гиперссылка 61" xfId="3922"/>
    <cellStyle name="Открывавшаяся гиперссылка 62" xfId="3923"/>
    <cellStyle name="Открывавшаяся гиперссылка 63" xfId="3924"/>
    <cellStyle name="Открывавшаяся гиперссылка 64" xfId="3925"/>
    <cellStyle name="Открывавшаяся гиперссылка 65" xfId="3926"/>
    <cellStyle name="Открывавшаяся гиперссылка 66" xfId="3927"/>
    <cellStyle name="Открывавшаяся гиперссылка 67" xfId="3928"/>
    <cellStyle name="Открывавшаяся гиперссылка 68" xfId="3929"/>
    <cellStyle name="Открывавшаяся гиперссылка 69" xfId="3930"/>
    <cellStyle name="Открывавшаяся гиперссылка 7" xfId="3931"/>
    <cellStyle name="Открывавшаяся гиперссылка 70" xfId="3932"/>
    <cellStyle name="Открывавшаяся гиперссылка 71" xfId="3933"/>
    <cellStyle name="Открывавшаяся гиперссылка 72" xfId="3934"/>
    <cellStyle name="Открывавшаяся гиперссылка 73" xfId="3935"/>
    <cellStyle name="Открывавшаяся гиперссылка 74" xfId="3936"/>
    <cellStyle name="Открывавшаяся гиперссылка 75" xfId="3937"/>
    <cellStyle name="Открывавшаяся гиперссылка 76" xfId="3938"/>
    <cellStyle name="Открывавшаяся гиперссылка 77" xfId="3939"/>
    <cellStyle name="Открывавшаяся гиперссылка 78" xfId="3940"/>
    <cellStyle name="Открывавшаяся гиперссылка 79" xfId="3941"/>
    <cellStyle name="Открывавшаяся гиперссылка 8" xfId="3942"/>
    <cellStyle name="Открывавшаяся гиперссылка 80" xfId="3943"/>
    <cellStyle name="Открывавшаяся гиперссылка 81" xfId="3944"/>
    <cellStyle name="Открывавшаяся гиперссылка 82" xfId="3945"/>
    <cellStyle name="Открывавшаяся гиперссылка 83" xfId="3946"/>
    <cellStyle name="Открывавшаяся гиперссылка 84" xfId="3947"/>
    <cellStyle name="Открывавшаяся гиперссылка 85" xfId="3948"/>
    <cellStyle name="Открывавшаяся гиперссылка 86" xfId="3949"/>
    <cellStyle name="Открывавшаяся гиперссылка 87" xfId="3950"/>
    <cellStyle name="Открывавшаяся гиперссылка 88" xfId="3951"/>
    <cellStyle name="Открывавшаяся гиперссылка 89" xfId="3952"/>
    <cellStyle name="Открывавшаяся гиперссылка 9" xfId="3953"/>
    <cellStyle name="Открывавшаяся гиперссылка 90" xfId="3954"/>
    <cellStyle name="Открывавшаяся гиперссылка 91" xfId="3955"/>
    <cellStyle name="Открывавшаяся гиперссылка 92" xfId="3956"/>
    <cellStyle name="Открывавшаяся гиперссылка 93" xfId="3957"/>
    <cellStyle name="Открывавшаяся гиперссылка 94" xfId="3958"/>
    <cellStyle name="Открывавшаяся гиперссылка 95" xfId="3959"/>
    <cellStyle name="Открывавшаяся гиперссылка 96" xfId="3960"/>
    <cellStyle name="Открывавшаяся гиперссылка 97" xfId="3961"/>
    <cellStyle name="Открывавшаяся гиперссылка 98" xfId="3962"/>
    <cellStyle name="Открывавшаяся гиперссылка 99" xfId="3963"/>
    <cellStyle name="Плохой 10" xfId="3964"/>
    <cellStyle name="Плохой 11" xfId="3965"/>
    <cellStyle name="Плохой 2" xfId="3966"/>
    <cellStyle name="Плохой 3" xfId="3967"/>
    <cellStyle name="Плохой 4" xfId="3968"/>
    <cellStyle name="Плохой 5" xfId="3969"/>
    <cellStyle name="Плохой 6" xfId="3970"/>
    <cellStyle name="Плохой 7" xfId="3971"/>
    <cellStyle name="Плохой 8" xfId="3972"/>
    <cellStyle name="Плохой 9" xfId="3973"/>
    <cellStyle name="Пояснение 2" xfId="3974"/>
    <cellStyle name="Пояснение 3" xfId="3975"/>
    <cellStyle name="Пояснение 4" xfId="3976"/>
    <cellStyle name="Примечание 10" xfId="3977"/>
    <cellStyle name="Примечание 10 10" xfId="3978"/>
    <cellStyle name="Примечание 10 11" xfId="3979"/>
    <cellStyle name="Примечание 10 12" xfId="3980"/>
    <cellStyle name="Примечание 10 13" xfId="3981"/>
    <cellStyle name="Примечание 10 14" xfId="3982"/>
    <cellStyle name="Примечание 10 15" xfId="3983"/>
    <cellStyle name="Примечание 10 16" xfId="3984"/>
    <cellStyle name="Примечание 10 17" xfId="3985"/>
    <cellStyle name="Примечание 10 2" xfId="3986"/>
    <cellStyle name="Примечание 10 2 10" xfId="3987"/>
    <cellStyle name="Примечание 10 2 11" xfId="3988"/>
    <cellStyle name="Примечание 10 2 12" xfId="3989"/>
    <cellStyle name="Примечание 10 2 13" xfId="3990"/>
    <cellStyle name="Примечание 10 2 14" xfId="3991"/>
    <cellStyle name="Примечание 10 2 15" xfId="3992"/>
    <cellStyle name="Примечание 10 2 16" xfId="3993"/>
    <cellStyle name="Примечание 10 2 17" xfId="3994"/>
    <cellStyle name="Примечание 10 2 18" xfId="3995"/>
    <cellStyle name="Примечание 10 2 2" xfId="3996"/>
    <cellStyle name="Примечание 10 2 3" xfId="3997"/>
    <cellStyle name="Примечание 10 2 4" xfId="3998"/>
    <cellStyle name="Примечание 10 2 5" xfId="3999"/>
    <cellStyle name="Примечание 10 2 6" xfId="4000"/>
    <cellStyle name="Примечание 10 2 7" xfId="4001"/>
    <cellStyle name="Примечание 10 2 8" xfId="4002"/>
    <cellStyle name="Примечание 10 2 9" xfId="4003"/>
    <cellStyle name="Примечание 10 3" xfId="4004"/>
    <cellStyle name="Примечание 10 4" xfId="4005"/>
    <cellStyle name="Примечание 10 5" xfId="4006"/>
    <cellStyle name="Примечание 10 6" xfId="4007"/>
    <cellStyle name="Примечание 10 7" xfId="4008"/>
    <cellStyle name="Примечание 10 8" xfId="4009"/>
    <cellStyle name="Примечание 10 9" xfId="4010"/>
    <cellStyle name="Примечание 11" xfId="4011"/>
    <cellStyle name="Примечание 2" xfId="4012"/>
    <cellStyle name="Примечание 2 10" xfId="4013"/>
    <cellStyle name="Примечание 2 11" xfId="4014"/>
    <cellStyle name="Примечание 2 12" xfId="4015"/>
    <cellStyle name="Примечание 2 13" xfId="4016"/>
    <cellStyle name="Примечание 2 14" xfId="4017"/>
    <cellStyle name="Примечание 2 15" xfId="4018"/>
    <cellStyle name="Примечание 2 16" xfId="4019"/>
    <cellStyle name="Примечание 2 17" xfId="4020"/>
    <cellStyle name="Примечание 2 18" xfId="4021"/>
    <cellStyle name="Примечание 2 2" xfId="4022"/>
    <cellStyle name="Примечание 2 2 10" xfId="4023"/>
    <cellStyle name="Примечание 2 2 11" xfId="4024"/>
    <cellStyle name="Примечание 2 2 12" xfId="4025"/>
    <cellStyle name="Примечание 2 2 13" xfId="4026"/>
    <cellStyle name="Примечание 2 2 14" xfId="4027"/>
    <cellStyle name="Примечание 2 2 15" xfId="4028"/>
    <cellStyle name="Примечание 2 2 16" xfId="4029"/>
    <cellStyle name="Примечание 2 2 17" xfId="4030"/>
    <cellStyle name="Примечание 2 2 2" xfId="4031"/>
    <cellStyle name="Примечание 2 2 2 10" xfId="4032"/>
    <cellStyle name="Примечание 2 2 2 11" xfId="4033"/>
    <cellStyle name="Примечание 2 2 2 12" xfId="4034"/>
    <cellStyle name="Примечание 2 2 2 13" xfId="4035"/>
    <cellStyle name="Примечание 2 2 2 14" xfId="4036"/>
    <cellStyle name="Примечание 2 2 2 15" xfId="4037"/>
    <cellStyle name="Примечание 2 2 2 16" xfId="4038"/>
    <cellStyle name="Примечание 2 2 2 17" xfId="4039"/>
    <cellStyle name="Примечание 2 2 2 18" xfId="4040"/>
    <cellStyle name="Примечание 2 2 2 2" xfId="4041"/>
    <cellStyle name="Примечание 2 2 2 3" xfId="4042"/>
    <cellStyle name="Примечание 2 2 2 4" xfId="4043"/>
    <cellStyle name="Примечание 2 2 2 5" xfId="4044"/>
    <cellStyle name="Примечание 2 2 2 6" xfId="4045"/>
    <cellStyle name="Примечание 2 2 2 7" xfId="4046"/>
    <cellStyle name="Примечание 2 2 2 8" xfId="4047"/>
    <cellStyle name="Примечание 2 2 2 9" xfId="4048"/>
    <cellStyle name="Примечание 2 2 3" xfId="4049"/>
    <cellStyle name="Примечание 2 2 4" xfId="4050"/>
    <cellStyle name="Примечание 2 2 5" xfId="4051"/>
    <cellStyle name="Примечание 2 2 6" xfId="4052"/>
    <cellStyle name="Примечание 2 2 7" xfId="4053"/>
    <cellStyle name="Примечание 2 2 8" xfId="4054"/>
    <cellStyle name="Примечание 2 2 9" xfId="4055"/>
    <cellStyle name="Примечание 2 3" xfId="4056"/>
    <cellStyle name="Примечание 2 3 10" xfId="4057"/>
    <cellStyle name="Примечание 2 3 11" xfId="4058"/>
    <cellStyle name="Примечание 2 3 12" xfId="4059"/>
    <cellStyle name="Примечание 2 3 13" xfId="4060"/>
    <cellStyle name="Примечание 2 3 14" xfId="4061"/>
    <cellStyle name="Примечание 2 3 15" xfId="4062"/>
    <cellStyle name="Примечание 2 3 16" xfId="4063"/>
    <cellStyle name="Примечание 2 3 17" xfId="4064"/>
    <cellStyle name="Примечание 2 3 18" xfId="4065"/>
    <cellStyle name="Примечание 2 3 2" xfId="4066"/>
    <cellStyle name="Примечание 2 3 3" xfId="4067"/>
    <cellStyle name="Примечание 2 3 4" xfId="4068"/>
    <cellStyle name="Примечание 2 3 5" xfId="4069"/>
    <cellStyle name="Примечание 2 3 6" xfId="4070"/>
    <cellStyle name="Примечание 2 3 7" xfId="4071"/>
    <cellStyle name="Примечание 2 3 8" xfId="4072"/>
    <cellStyle name="Примечание 2 3 9" xfId="4073"/>
    <cellStyle name="Примечание 2 4" xfId="4074"/>
    <cellStyle name="Примечание 2 5" xfId="4075"/>
    <cellStyle name="Примечание 2 6" xfId="4076"/>
    <cellStyle name="Примечание 2 7" xfId="4077"/>
    <cellStyle name="Примечание 2 8" xfId="4078"/>
    <cellStyle name="Примечание 2 9" xfId="4079"/>
    <cellStyle name="Примечание 3" xfId="4080"/>
    <cellStyle name="Примечание 3 10" xfId="4081"/>
    <cellStyle name="Примечание 3 11" xfId="4082"/>
    <cellStyle name="Примечание 3 12" xfId="4083"/>
    <cellStyle name="Примечание 3 13" xfId="4084"/>
    <cellStyle name="Примечание 3 14" xfId="4085"/>
    <cellStyle name="Примечание 3 15" xfId="4086"/>
    <cellStyle name="Примечание 3 16" xfId="4087"/>
    <cellStyle name="Примечание 3 17" xfId="4088"/>
    <cellStyle name="Примечание 3 2" xfId="4089"/>
    <cellStyle name="Примечание 3 2 10" xfId="4090"/>
    <cellStyle name="Примечание 3 2 11" xfId="4091"/>
    <cellStyle name="Примечание 3 2 12" xfId="4092"/>
    <cellStyle name="Примечание 3 2 13" xfId="4093"/>
    <cellStyle name="Примечание 3 2 14" xfId="4094"/>
    <cellStyle name="Примечание 3 2 15" xfId="4095"/>
    <cellStyle name="Примечание 3 2 16" xfId="4096"/>
    <cellStyle name="Примечание 3 2 17" xfId="4097"/>
    <cellStyle name="Примечание 3 2 18" xfId="4098"/>
    <cellStyle name="Примечание 3 2 2" xfId="4099"/>
    <cellStyle name="Примечание 3 2 3" xfId="4100"/>
    <cellStyle name="Примечание 3 2 4" xfId="4101"/>
    <cellStyle name="Примечание 3 2 5" xfId="4102"/>
    <cellStyle name="Примечание 3 2 6" xfId="4103"/>
    <cellStyle name="Примечание 3 2 7" xfId="4104"/>
    <cellStyle name="Примечание 3 2 8" xfId="4105"/>
    <cellStyle name="Примечание 3 2 9" xfId="4106"/>
    <cellStyle name="Примечание 3 3" xfId="4107"/>
    <cellStyle name="Примечание 3 4" xfId="4108"/>
    <cellStyle name="Примечание 3 5" xfId="4109"/>
    <cellStyle name="Примечание 3 6" xfId="4110"/>
    <cellStyle name="Примечание 3 7" xfId="4111"/>
    <cellStyle name="Примечание 3 8" xfId="4112"/>
    <cellStyle name="Примечание 3 9" xfId="4113"/>
    <cellStyle name="Примечание 4" xfId="4114"/>
    <cellStyle name="Примечание 4 10" xfId="4115"/>
    <cellStyle name="Примечание 4 11" xfId="4116"/>
    <cellStyle name="Примечание 4 12" xfId="4117"/>
    <cellStyle name="Примечание 4 13" xfId="4118"/>
    <cellStyle name="Примечание 4 14" xfId="4119"/>
    <cellStyle name="Примечание 4 15" xfId="4120"/>
    <cellStyle name="Примечание 4 16" xfId="4121"/>
    <cellStyle name="Примечание 4 17" xfId="4122"/>
    <cellStyle name="Примечание 4 2" xfId="4123"/>
    <cellStyle name="Примечание 4 2 10" xfId="4124"/>
    <cellStyle name="Примечание 4 2 11" xfId="4125"/>
    <cellStyle name="Примечание 4 2 12" xfId="4126"/>
    <cellStyle name="Примечание 4 2 13" xfId="4127"/>
    <cellStyle name="Примечание 4 2 14" xfId="4128"/>
    <cellStyle name="Примечание 4 2 15" xfId="4129"/>
    <cellStyle name="Примечание 4 2 16" xfId="4130"/>
    <cellStyle name="Примечание 4 2 17" xfId="4131"/>
    <cellStyle name="Примечание 4 2 18" xfId="4132"/>
    <cellStyle name="Примечание 4 2 2" xfId="4133"/>
    <cellStyle name="Примечание 4 2 3" xfId="4134"/>
    <cellStyle name="Примечание 4 2 4" xfId="4135"/>
    <cellStyle name="Примечание 4 2 5" xfId="4136"/>
    <cellStyle name="Примечание 4 2 6" xfId="4137"/>
    <cellStyle name="Примечание 4 2 7" xfId="4138"/>
    <cellStyle name="Примечание 4 2 8" xfId="4139"/>
    <cellStyle name="Примечание 4 2 9" xfId="4140"/>
    <cellStyle name="Примечание 4 3" xfId="4141"/>
    <cellStyle name="Примечание 4 4" xfId="4142"/>
    <cellStyle name="Примечание 4 5" xfId="4143"/>
    <cellStyle name="Примечание 4 6" xfId="4144"/>
    <cellStyle name="Примечание 4 7" xfId="4145"/>
    <cellStyle name="Примечание 4 8" xfId="4146"/>
    <cellStyle name="Примечание 4 9" xfId="4147"/>
    <cellStyle name="Примечание 5" xfId="4148"/>
    <cellStyle name="Примечание 5 10" xfId="4149"/>
    <cellStyle name="Примечание 5 11" xfId="4150"/>
    <cellStyle name="Примечание 5 12" xfId="4151"/>
    <cellStyle name="Примечание 5 13" xfId="4152"/>
    <cellStyle name="Примечание 5 14" xfId="4153"/>
    <cellStyle name="Примечание 5 15" xfId="4154"/>
    <cellStyle name="Примечание 5 16" xfId="4155"/>
    <cellStyle name="Примечание 5 17" xfId="4156"/>
    <cellStyle name="Примечание 5 2" xfId="4157"/>
    <cellStyle name="Примечание 5 2 10" xfId="4158"/>
    <cellStyle name="Примечание 5 2 11" xfId="4159"/>
    <cellStyle name="Примечание 5 2 12" xfId="4160"/>
    <cellStyle name="Примечание 5 2 13" xfId="4161"/>
    <cellStyle name="Примечание 5 2 14" xfId="4162"/>
    <cellStyle name="Примечание 5 2 15" xfId="4163"/>
    <cellStyle name="Примечание 5 2 16" xfId="4164"/>
    <cellStyle name="Примечание 5 2 17" xfId="4165"/>
    <cellStyle name="Примечание 5 2 18" xfId="4166"/>
    <cellStyle name="Примечание 5 2 2" xfId="4167"/>
    <cellStyle name="Примечание 5 2 3" xfId="4168"/>
    <cellStyle name="Примечание 5 2 4" xfId="4169"/>
    <cellStyle name="Примечание 5 2 5" xfId="4170"/>
    <cellStyle name="Примечание 5 2 6" xfId="4171"/>
    <cellStyle name="Примечание 5 2 7" xfId="4172"/>
    <cellStyle name="Примечание 5 2 8" xfId="4173"/>
    <cellStyle name="Примечание 5 2 9" xfId="4174"/>
    <cellStyle name="Примечание 5 3" xfId="4175"/>
    <cellStyle name="Примечание 5 4" xfId="4176"/>
    <cellStyle name="Примечание 5 5" xfId="4177"/>
    <cellStyle name="Примечание 5 6" xfId="4178"/>
    <cellStyle name="Примечание 5 7" xfId="4179"/>
    <cellStyle name="Примечание 5 8" xfId="4180"/>
    <cellStyle name="Примечание 5 9" xfId="4181"/>
    <cellStyle name="Примечание 6" xfId="4182"/>
    <cellStyle name="Примечание 6 10" xfId="4183"/>
    <cellStyle name="Примечание 6 11" xfId="4184"/>
    <cellStyle name="Примечание 6 12" xfId="4185"/>
    <cellStyle name="Примечание 6 13" xfId="4186"/>
    <cellStyle name="Примечание 6 14" xfId="4187"/>
    <cellStyle name="Примечание 6 15" xfId="4188"/>
    <cellStyle name="Примечание 6 16" xfId="4189"/>
    <cellStyle name="Примечание 6 17" xfId="4190"/>
    <cellStyle name="Примечание 6 2" xfId="4191"/>
    <cellStyle name="Примечание 6 2 10" xfId="4192"/>
    <cellStyle name="Примечание 6 2 11" xfId="4193"/>
    <cellStyle name="Примечание 6 2 12" xfId="4194"/>
    <cellStyle name="Примечание 6 2 13" xfId="4195"/>
    <cellStyle name="Примечание 6 2 14" xfId="4196"/>
    <cellStyle name="Примечание 6 2 15" xfId="4197"/>
    <cellStyle name="Примечание 6 2 16" xfId="4198"/>
    <cellStyle name="Примечание 6 2 17" xfId="4199"/>
    <cellStyle name="Примечание 6 2 18" xfId="4200"/>
    <cellStyle name="Примечание 6 2 2" xfId="4201"/>
    <cellStyle name="Примечание 6 2 3" xfId="4202"/>
    <cellStyle name="Примечание 6 2 4" xfId="4203"/>
    <cellStyle name="Примечание 6 2 5" xfId="4204"/>
    <cellStyle name="Примечание 6 2 6" xfId="4205"/>
    <cellStyle name="Примечание 6 2 7" xfId="4206"/>
    <cellStyle name="Примечание 6 2 8" xfId="4207"/>
    <cellStyle name="Примечание 6 2 9" xfId="4208"/>
    <cellStyle name="Примечание 6 3" xfId="4209"/>
    <cellStyle name="Примечание 6 4" xfId="4210"/>
    <cellStyle name="Примечание 6 5" xfId="4211"/>
    <cellStyle name="Примечание 6 6" xfId="4212"/>
    <cellStyle name="Примечание 6 7" xfId="4213"/>
    <cellStyle name="Примечание 6 8" xfId="4214"/>
    <cellStyle name="Примечание 6 9" xfId="4215"/>
    <cellStyle name="Примечание 7" xfId="4216"/>
    <cellStyle name="Примечание 7 10" xfId="4217"/>
    <cellStyle name="Примечание 7 11" xfId="4218"/>
    <cellStyle name="Примечание 7 12" xfId="4219"/>
    <cellStyle name="Примечание 7 13" xfId="4220"/>
    <cellStyle name="Примечание 7 14" xfId="4221"/>
    <cellStyle name="Примечание 7 15" xfId="4222"/>
    <cellStyle name="Примечание 7 16" xfId="4223"/>
    <cellStyle name="Примечание 7 17" xfId="4224"/>
    <cellStyle name="Примечание 7 2" xfId="4225"/>
    <cellStyle name="Примечание 7 2 10" xfId="4226"/>
    <cellStyle name="Примечание 7 2 11" xfId="4227"/>
    <cellStyle name="Примечание 7 2 12" xfId="4228"/>
    <cellStyle name="Примечание 7 2 13" xfId="4229"/>
    <cellStyle name="Примечание 7 2 14" xfId="4230"/>
    <cellStyle name="Примечание 7 2 15" xfId="4231"/>
    <cellStyle name="Примечание 7 2 16" xfId="4232"/>
    <cellStyle name="Примечание 7 2 17" xfId="4233"/>
    <cellStyle name="Примечание 7 2 18" xfId="4234"/>
    <cellStyle name="Примечание 7 2 2" xfId="4235"/>
    <cellStyle name="Примечание 7 2 3" xfId="4236"/>
    <cellStyle name="Примечание 7 2 4" xfId="4237"/>
    <cellStyle name="Примечание 7 2 5" xfId="4238"/>
    <cellStyle name="Примечание 7 2 6" xfId="4239"/>
    <cellStyle name="Примечание 7 2 7" xfId="4240"/>
    <cellStyle name="Примечание 7 2 8" xfId="4241"/>
    <cellStyle name="Примечание 7 2 9" xfId="4242"/>
    <cellStyle name="Примечание 7 3" xfId="4243"/>
    <cellStyle name="Примечание 7 4" xfId="4244"/>
    <cellStyle name="Примечание 7 5" xfId="4245"/>
    <cellStyle name="Примечание 7 6" xfId="4246"/>
    <cellStyle name="Примечание 7 7" xfId="4247"/>
    <cellStyle name="Примечание 7 8" xfId="4248"/>
    <cellStyle name="Примечание 7 9" xfId="4249"/>
    <cellStyle name="Примечание 8" xfId="4250"/>
    <cellStyle name="Примечание 8 10" xfId="4251"/>
    <cellStyle name="Примечание 8 11" xfId="4252"/>
    <cellStyle name="Примечание 8 12" xfId="4253"/>
    <cellStyle name="Примечание 8 13" xfId="4254"/>
    <cellStyle name="Примечание 8 14" xfId="4255"/>
    <cellStyle name="Примечание 8 15" xfId="4256"/>
    <cellStyle name="Примечание 8 16" xfId="4257"/>
    <cellStyle name="Примечание 8 17" xfId="4258"/>
    <cellStyle name="Примечание 8 2" xfId="4259"/>
    <cellStyle name="Примечание 8 2 10" xfId="4260"/>
    <cellStyle name="Примечание 8 2 11" xfId="4261"/>
    <cellStyle name="Примечание 8 2 12" xfId="4262"/>
    <cellStyle name="Примечание 8 2 13" xfId="4263"/>
    <cellStyle name="Примечание 8 2 14" xfId="4264"/>
    <cellStyle name="Примечание 8 2 15" xfId="4265"/>
    <cellStyle name="Примечание 8 2 16" xfId="4266"/>
    <cellStyle name="Примечание 8 2 17" xfId="4267"/>
    <cellStyle name="Примечание 8 2 18" xfId="4268"/>
    <cellStyle name="Примечание 8 2 2" xfId="4269"/>
    <cellStyle name="Примечание 8 2 3" xfId="4270"/>
    <cellStyle name="Примечание 8 2 4" xfId="4271"/>
    <cellStyle name="Примечание 8 2 5" xfId="4272"/>
    <cellStyle name="Примечание 8 2 6" xfId="4273"/>
    <cellStyle name="Примечание 8 2 7" xfId="4274"/>
    <cellStyle name="Примечание 8 2 8" xfId="4275"/>
    <cellStyle name="Примечание 8 2 9" xfId="4276"/>
    <cellStyle name="Примечание 8 3" xfId="4277"/>
    <cellStyle name="Примечание 8 4" xfId="4278"/>
    <cellStyle name="Примечание 8 5" xfId="4279"/>
    <cellStyle name="Примечание 8 6" xfId="4280"/>
    <cellStyle name="Примечание 8 7" xfId="4281"/>
    <cellStyle name="Примечание 8 8" xfId="4282"/>
    <cellStyle name="Примечание 8 9" xfId="4283"/>
    <cellStyle name="Примечание 9" xfId="4284"/>
    <cellStyle name="Примечание 9 10" xfId="4285"/>
    <cellStyle name="Примечание 9 11" xfId="4286"/>
    <cellStyle name="Примечание 9 12" xfId="4287"/>
    <cellStyle name="Примечание 9 13" xfId="4288"/>
    <cellStyle name="Примечание 9 14" xfId="4289"/>
    <cellStyle name="Примечание 9 15" xfId="4290"/>
    <cellStyle name="Примечание 9 16" xfId="4291"/>
    <cellStyle name="Примечание 9 17" xfId="4292"/>
    <cellStyle name="Примечание 9 2" xfId="4293"/>
    <cellStyle name="Примечание 9 2 10" xfId="4294"/>
    <cellStyle name="Примечание 9 2 11" xfId="4295"/>
    <cellStyle name="Примечание 9 2 12" xfId="4296"/>
    <cellStyle name="Примечание 9 2 13" xfId="4297"/>
    <cellStyle name="Примечание 9 2 14" xfId="4298"/>
    <cellStyle name="Примечание 9 2 15" xfId="4299"/>
    <cellStyle name="Примечание 9 2 16" xfId="4300"/>
    <cellStyle name="Примечание 9 2 17" xfId="4301"/>
    <cellStyle name="Примечание 9 2 18" xfId="4302"/>
    <cellStyle name="Примечание 9 2 2" xfId="4303"/>
    <cellStyle name="Примечание 9 2 3" xfId="4304"/>
    <cellStyle name="Примечание 9 2 4" xfId="4305"/>
    <cellStyle name="Примечание 9 2 5" xfId="4306"/>
    <cellStyle name="Примечание 9 2 6" xfId="4307"/>
    <cellStyle name="Примечание 9 2 7" xfId="4308"/>
    <cellStyle name="Примечание 9 2 8" xfId="4309"/>
    <cellStyle name="Примечание 9 2 9" xfId="4310"/>
    <cellStyle name="Примечание 9 3" xfId="4311"/>
    <cellStyle name="Примечание 9 4" xfId="4312"/>
    <cellStyle name="Примечание 9 5" xfId="4313"/>
    <cellStyle name="Примечание 9 6" xfId="4314"/>
    <cellStyle name="Примечание 9 7" xfId="4315"/>
    <cellStyle name="Примечание 9 8" xfId="4316"/>
    <cellStyle name="Примечание 9 9" xfId="4317"/>
    <cellStyle name="Процентный 2" xfId="4318"/>
    <cellStyle name="Процентный 2 2" xfId="4319"/>
    <cellStyle name="Процентный 3" xfId="4320"/>
    <cellStyle name="Процентный 3 2" xfId="4321"/>
    <cellStyle name="Процентный 4" xfId="4322"/>
    <cellStyle name="Процентный 4 2" xfId="4323"/>
    <cellStyle name="Процентный 5" xfId="4324"/>
    <cellStyle name="Процентный 6" xfId="4325"/>
    <cellStyle name="Процентный 7" xfId="4326"/>
    <cellStyle name="Процентный 7 2" xfId="4327"/>
    <cellStyle name="Процентный 7 2 2" xfId="4328"/>
    <cellStyle name="Процентный 7 2 2 2" xfId="4329"/>
    <cellStyle name="Процентный 7 2 2 2 2" xfId="4330"/>
    <cellStyle name="Процентный 7 2 2 3" xfId="4331"/>
    <cellStyle name="Процентный 7 2 3" xfId="4332"/>
    <cellStyle name="Процентный 7 2 3 2" xfId="4333"/>
    <cellStyle name="Процентный 7 2 4" xfId="4334"/>
    <cellStyle name="Процентный 7 3" xfId="4335"/>
    <cellStyle name="Процентный 7 3 2" xfId="4336"/>
    <cellStyle name="Процентный 7 3 2 2" xfId="4337"/>
    <cellStyle name="Процентный 7 3 3" xfId="4338"/>
    <cellStyle name="Процентный 7 4" xfId="4339"/>
    <cellStyle name="Процентный 7 4 2" xfId="4340"/>
    <cellStyle name="Процентный 7 5" xfId="4341"/>
    <cellStyle name="Процентный 8" xfId="4342"/>
    <cellStyle name="Процентный 8 2" xfId="4343"/>
    <cellStyle name="Процентный 8 2 2" xfId="4344"/>
    <cellStyle name="Процентный 8 2 2 2" xfId="4345"/>
    <cellStyle name="Процентный 8 2 2 2 2" xfId="4346"/>
    <cellStyle name="Процентный 8 2 2 3" xfId="4347"/>
    <cellStyle name="Процентный 8 2 3" xfId="4348"/>
    <cellStyle name="Процентный 8 2 3 2" xfId="4349"/>
    <cellStyle name="Процентный 8 2 4" xfId="4350"/>
    <cellStyle name="Процентный 8 3" xfId="4351"/>
    <cellStyle name="Процентный 8 3 2" xfId="4352"/>
    <cellStyle name="Процентный 8 3 2 2" xfId="4353"/>
    <cellStyle name="Процентный 8 3 3" xfId="4354"/>
    <cellStyle name="Процентный 8 4" xfId="4355"/>
    <cellStyle name="Процентный 8 4 2" xfId="4356"/>
    <cellStyle name="Процентный 8 5" xfId="4357"/>
    <cellStyle name="Процентный 9" xfId="4358"/>
    <cellStyle name="РесСмета" xfId="4359"/>
    <cellStyle name="РесСмета 10" xfId="4360"/>
    <cellStyle name="РесСмета 10 2" xfId="4361"/>
    <cellStyle name="РесСмета 11" xfId="4362"/>
    <cellStyle name="РесСмета 11 2" xfId="4363"/>
    <cellStyle name="РесСмета 12" xfId="4364"/>
    <cellStyle name="РесСмета 12 2" xfId="4365"/>
    <cellStyle name="РесСмета 13" xfId="4366"/>
    <cellStyle name="РесСмета 13 2" xfId="4367"/>
    <cellStyle name="РесСмета 14" xfId="4368"/>
    <cellStyle name="РесСмета 14 2" xfId="4369"/>
    <cellStyle name="РесСмета 15" xfId="4370"/>
    <cellStyle name="РесСмета 15 2" xfId="4371"/>
    <cellStyle name="РесСмета 16" xfId="4372"/>
    <cellStyle name="РесСмета 16 2" xfId="4373"/>
    <cellStyle name="РесСмета 17" xfId="4374"/>
    <cellStyle name="РесСмета 17 2" xfId="4375"/>
    <cellStyle name="РесСмета 18" xfId="4376"/>
    <cellStyle name="РесСмета 18 2" xfId="4377"/>
    <cellStyle name="РесСмета 19" xfId="4378"/>
    <cellStyle name="РесСмета 19 2" xfId="4379"/>
    <cellStyle name="РесСмета 2" xfId="4380"/>
    <cellStyle name="РесСмета 2 10" xfId="4381"/>
    <cellStyle name="РесСмета 2 10 2" xfId="4382"/>
    <cellStyle name="РесСмета 2 11" xfId="4383"/>
    <cellStyle name="РесСмета 2 11 2" xfId="4384"/>
    <cellStyle name="РесСмета 2 12" xfId="4385"/>
    <cellStyle name="РесСмета 2 12 2" xfId="4386"/>
    <cellStyle name="РесСмета 2 13" xfId="4387"/>
    <cellStyle name="РесСмета 2 13 2" xfId="4388"/>
    <cellStyle name="РесСмета 2 14" xfId="4389"/>
    <cellStyle name="РесСмета 2 14 2" xfId="4390"/>
    <cellStyle name="РесСмета 2 15" xfId="4391"/>
    <cellStyle name="РесСмета 2 15 2" xfId="4392"/>
    <cellStyle name="РесСмета 2 16" xfId="4393"/>
    <cellStyle name="РесСмета 2 16 2" xfId="4394"/>
    <cellStyle name="РесСмета 2 17" xfId="4395"/>
    <cellStyle name="РесСмета 2 17 2" xfId="4396"/>
    <cellStyle name="РесСмета 2 18" xfId="4397"/>
    <cellStyle name="РесСмета 2 18 2" xfId="4398"/>
    <cellStyle name="РесСмета 2 19" xfId="4399"/>
    <cellStyle name="РесСмета 2 2" xfId="4400"/>
    <cellStyle name="РесСмета 2 2 2" xfId="4401"/>
    <cellStyle name="РесСмета 2 3" xfId="4402"/>
    <cellStyle name="РесСмета 2 3 2" xfId="4403"/>
    <cellStyle name="РесСмета 2 4" xfId="4404"/>
    <cellStyle name="РесСмета 2 4 2" xfId="4405"/>
    <cellStyle name="РесСмета 2 5" xfId="4406"/>
    <cellStyle name="РесСмета 2 5 2" xfId="4407"/>
    <cellStyle name="РесСмета 2 6" xfId="4408"/>
    <cellStyle name="РесСмета 2 6 2" xfId="4409"/>
    <cellStyle name="РесСмета 2 7" xfId="4410"/>
    <cellStyle name="РесСмета 2 7 2" xfId="4411"/>
    <cellStyle name="РесСмета 2 8" xfId="4412"/>
    <cellStyle name="РесСмета 2 8 2" xfId="4413"/>
    <cellStyle name="РесСмета 2 9" xfId="4414"/>
    <cellStyle name="РесСмета 2 9 2" xfId="4415"/>
    <cellStyle name="РесСмета 20" xfId="4416"/>
    <cellStyle name="РесСмета 3" xfId="4417"/>
    <cellStyle name="РесСмета 3 10" xfId="4418"/>
    <cellStyle name="РесСмета 3 10 2" xfId="4419"/>
    <cellStyle name="РесСмета 3 11" xfId="4420"/>
    <cellStyle name="РесСмета 3 11 2" xfId="4421"/>
    <cellStyle name="РесСмета 3 12" xfId="4422"/>
    <cellStyle name="РесСмета 3 12 2" xfId="4423"/>
    <cellStyle name="РесСмета 3 13" xfId="4424"/>
    <cellStyle name="РесСмета 3 13 2" xfId="4425"/>
    <cellStyle name="РесСмета 3 14" xfId="4426"/>
    <cellStyle name="РесСмета 3 14 2" xfId="4427"/>
    <cellStyle name="РесСмета 3 15" xfId="4428"/>
    <cellStyle name="РесСмета 3 15 2" xfId="4429"/>
    <cellStyle name="РесСмета 3 16" xfId="4430"/>
    <cellStyle name="РесСмета 3 16 2" xfId="4431"/>
    <cellStyle name="РесСмета 3 17" xfId="4432"/>
    <cellStyle name="РесСмета 3 17 2" xfId="4433"/>
    <cellStyle name="РесСмета 3 18" xfId="4434"/>
    <cellStyle name="РесСмета 3 18 2" xfId="4435"/>
    <cellStyle name="РесСмета 3 19" xfId="4436"/>
    <cellStyle name="РесСмета 3 2" xfId="4437"/>
    <cellStyle name="РесСмета 3 2 2" xfId="4438"/>
    <cellStyle name="РесСмета 3 3" xfId="4439"/>
    <cellStyle name="РесСмета 3 3 2" xfId="4440"/>
    <cellStyle name="РесСмета 3 4" xfId="4441"/>
    <cellStyle name="РесСмета 3 4 2" xfId="4442"/>
    <cellStyle name="РесСмета 3 5" xfId="4443"/>
    <cellStyle name="РесСмета 3 5 2" xfId="4444"/>
    <cellStyle name="РесСмета 3 6" xfId="4445"/>
    <cellStyle name="РесСмета 3 6 2" xfId="4446"/>
    <cellStyle name="РесСмета 3 7" xfId="4447"/>
    <cellStyle name="РесСмета 3 7 2" xfId="4448"/>
    <cellStyle name="РесСмета 3 8" xfId="4449"/>
    <cellStyle name="РесСмета 3 8 2" xfId="4450"/>
    <cellStyle name="РесСмета 3 9" xfId="4451"/>
    <cellStyle name="РесСмета 3 9 2" xfId="4452"/>
    <cellStyle name="РесСмета 4" xfId="4453"/>
    <cellStyle name="РесСмета 4 10" xfId="4454"/>
    <cellStyle name="РесСмета 4 10 2" xfId="4455"/>
    <cellStyle name="РесСмета 4 11" xfId="4456"/>
    <cellStyle name="РесСмета 4 11 2" xfId="4457"/>
    <cellStyle name="РесСмета 4 12" xfId="4458"/>
    <cellStyle name="РесСмета 4 12 2" xfId="4459"/>
    <cellStyle name="РесСмета 4 13" xfId="4460"/>
    <cellStyle name="РесСмета 4 13 2" xfId="4461"/>
    <cellStyle name="РесСмета 4 14" xfId="4462"/>
    <cellStyle name="РесСмета 4 14 2" xfId="4463"/>
    <cellStyle name="РесСмета 4 15" xfId="4464"/>
    <cellStyle name="РесСмета 4 15 2" xfId="4465"/>
    <cellStyle name="РесСмета 4 16" xfId="4466"/>
    <cellStyle name="РесСмета 4 16 2" xfId="4467"/>
    <cellStyle name="РесСмета 4 17" xfId="4468"/>
    <cellStyle name="РесСмета 4 17 2" xfId="4469"/>
    <cellStyle name="РесСмета 4 18" xfId="4470"/>
    <cellStyle name="РесСмета 4 18 2" xfId="4471"/>
    <cellStyle name="РесСмета 4 19" xfId="4472"/>
    <cellStyle name="РесСмета 4 2" xfId="4473"/>
    <cellStyle name="РесСмета 4 2 2" xfId="4474"/>
    <cellStyle name="РесСмета 4 3" xfId="4475"/>
    <cellStyle name="РесСмета 4 3 2" xfId="4476"/>
    <cellStyle name="РесСмета 4 4" xfId="4477"/>
    <cellStyle name="РесСмета 4 4 2" xfId="4478"/>
    <cellStyle name="РесСмета 4 5" xfId="4479"/>
    <cellStyle name="РесСмета 4 5 2" xfId="4480"/>
    <cellStyle name="РесСмета 4 6" xfId="4481"/>
    <cellStyle name="РесСмета 4 6 2" xfId="4482"/>
    <cellStyle name="РесСмета 4 7" xfId="4483"/>
    <cellStyle name="РесСмета 4 7 2" xfId="4484"/>
    <cellStyle name="РесСмета 4 8" xfId="4485"/>
    <cellStyle name="РесСмета 4 8 2" xfId="4486"/>
    <cellStyle name="РесСмета 4 9" xfId="4487"/>
    <cellStyle name="РесСмета 4 9 2" xfId="4488"/>
    <cellStyle name="РесСмета 5" xfId="4489"/>
    <cellStyle name="РесСмета 5 2" xfId="4490"/>
    <cellStyle name="РесСмета 6" xfId="4491"/>
    <cellStyle name="РесСмета 6 2" xfId="4492"/>
    <cellStyle name="РесСмета 7" xfId="4493"/>
    <cellStyle name="РесСмета 7 2" xfId="4494"/>
    <cellStyle name="РесСмета 8" xfId="4495"/>
    <cellStyle name="РесСмета 8 2" xfId="4496"/>
    <cellStyle name="РесСмета 9" xfId="4497"/>
    <cellStyle name="РесСмета 9 2" xfId="4498"/>
    <cellStyle name="Связанная ячейка 2" xfId="4499"/>
    <cellStyle name="Связанная ячейка 3" xfId="4500"/>
    <cellStyle name="Связанная ячейка 4" xfId="4501"/>
    <cellStyle name="Стиль 1" xfId="4502"/>
    <cellStyle name="Стиль 1 2" xfId="4503"/>
    <cellStyle name="Стиль 1 3" xfId="4504"/>
    <cellStyle name="Стиль 1 4" xfId="4505"/>
    <cellStyle name="ТЕКСТ" xfId="4506"/>
    <cellStyle name="Текст предупреждения 2" xfId="4507"/>
    <cellStyle name="Текст предупреждения 3" xfId="4508"/>
    <cellStyle name="Текст предупреждения 4" xfId="4509"/>
    <cellStyle name="Титул" xfId="4510"/>
    <cellStyle name="Тысячи [0]_Chart1 (Sales &amp; Costs)" xfId="4511"/>
    <cellStyle name="Тысячи_Chart1 (Sales &amp; Costs)" xfId="4512"/>
    <cellStyle name="Финансовый 10" xfId="4513"/>
    <cellStyle name="Финансовый 11" xfId="4514"/>
    <cellStyle name="Финансовый 11 2" xfId="4515"/>
    <cellStyle name="Финансовый 12" xfId="4516"/>
    <cellStyle name="Финансовый 13" xfId="4517"/>
    <cellStyle name="Финансовый 14" xfId="4518"/>
    <cellStyle name="Финансовый 15" xfId="4519"/>
    <cellStyle name="Финансовый 15 2" xfId="4520"/>
    <cellStyle name="Финансовый 15 2 2" xfId="4521"/>
    <cellStyle name="Финансовый 15 2 2 2" xfId="4522"/>
    <cellStyle name="Финансовый 15 2 2 2 2" xfId="4523"/>
    <cellStyle name="Финансовый 15 2 2 3" xfId="4524"/>
    <cellStyle name="Финансовый 15 2 3" xfId="4525"/>
    <cellStyle name="Финансовый 15 2 3 2" xfId="4526"/>
    <cellStyle name="Финансовый 15 2 4" xfId="4527"/>
    <cellStyle name="Финансовый 15 3" xfId="4528"/>
    <cellStyle name="Финансовый 15 3 2" xfId="4529"/>
    <cellStyle name="Финансовый 15 3 2 2" xfId="4530"/>
    <cellStyle name="Финансовый 15 3 3" xfId="4531"/>
    <cellStyle name="Финансовый 15 4" xfId="4532"/>
    <cellStyle name="Финансовый 15 4 2" xfId="4533"/>
    <cellStyle name="Финансовый 15 5" xfId="4534"/>
    <cellStyle name="Финансовый 16" xfId="4535"/>
    <cellStyle name="Финансовый 16 2" xfId="4536"/>
    <cellStyle name="Финансовый 16 2 2" xfId="4537"/>
    <cellStyle name="Финансовый 16 2 2 2" xfId="4538"/>
    <cellStyle name="Финансовый 16 2 2 2 2" xfId="4539"/>
    <cellStyle name="Финансовый 16 2 2 3" xfId="4540"/>
    <cellStyle name="Финансовый 16 2 3" xfId="4541"/>
    <cellStyle name="Финансовый 16 2 3 2" xfId="4542"/>
    <cellStyle name="Финансовый 16 2 4" xfId="4543"/>
    <cellStyle name="Финансовый 16 3" xfId="4544"/>
    <cellStyle name="Финансовый 16 3 2" xfId="4545"/>
    <cellStyle name="Финансовый 16 3 2 2" xfId="4546"/>
    <cellStyle name="Финансовый 16 3 3" xfId="4547"/>
    <cellStyle name="Финансовый 16 4" xfId="4548"/>
    <cellStyle name="Финансовый 16 4 2" xfId="4549"/>
    <cellStyle name="Финансовый 16 5" xfId="4550"/>
    <cellStyle name="Финансовый 17" xfId="4551"/>
    <cellStyle name="Финансовый 17 2" xfId="4552"/>
    <cellStyle name="Финансовый 18" xfId="4553"/>
    <cellStyle name="Финансовый 19" xfId="4554"/>
    <cellStyle name="Финансовый 2" xfId="4555"/>
    <cellStyle name="Финансовый 2 10" xfId="4556"/>
    <cellStyle name="Финансовый 2 10 2" xfId="4557"/>
    <cellStyle name="Финансовый 2 10 2 2" xfId="4558"/>
    <cellStyle name="Финансовый 2 10 2 2 2" xfId="4559"/>
    <cellStyle name="Финансовый 2 10 2 2 2 2" xfId="4560"/>
    <cellStyle name="Финансовый 2 10 2 2 3" xfId="4561"/>
    <cellStyle name="Финансовый 2 10 2 3" xfId="4562"/>
    <cellStyle name="Финансовый 2 10 2 3 2" xfId="4563"/>
    <cellStyle name="Финансовый 2 10 2 4" xfId="4564"/>
    <cellStyle name="Финансовый 2 10 3" xfId="4565"/>
    <cellStyle name="Финансовый 2 10 3 2" xfId="4566"/>
    <cellStyle name="Финансовый 2 10 3 2 2" xfId="4567"/>
    <cellStyle name="Финансовый 2 10 3 3" xfId="4568"/>
    <cellStyle name="Финансовый 2 10 4" xfId="4569"/>
    <cellStyle name="Финансовый 2 10 4 2" xfId="4570"/>
    <cellStyle name="Финансовый 2 10 5" xfId="4571"/>
    <cellStyle name="Финансовый 2 11" xfId="4572"/>
    <cellStyle name="Финансовый 2 11 2" xfId="4573"/>
    <cellStyle name="Финансовый 2 11 2 2" xfId="4574"/>
    <cellStyle name="Финансовый 2 11 2 2 2" xfId="4575"/>
    <cellStyle name="Финансовый 2 11 2 2 2 2" xfId="4576"/>
    <cellStyle name="Финансовый 2 11 2 2 3" xfId="4577"/>
    <cellStyle name="Финансовый 2 11 2 3" xfId="4578"/>
    <cellStyle name="Финансовый 2 11 2 3 2" xfId="4579"/>
    <cellStyle name="Финансовый 2 11 2 4" xfId="4580"/>
    <cellStyle name="Финансовый 2 11 3" xfId="4581"/>
    <cellStyle name="Финансовый 2 11 3 2" xfId="4582"/>
    <cellStyle name="Финансовый 2 11 3 2 2" xfId="4583"/>
    <cellStyle name="Финансовый 2 11 3 3" xfId="4584"/>
    <cellStyle name="Финансовый 2 11 4" xfId="4585"/>
    <cellStyle name="Финансовый 2 11 4 2" xfId="4586"/>
    <cellStyle name="Финансовый 2 11 5" xfId="4587"/>
    <cellStyle name="Финансовый 2 12" xfId="4588"/>
    <cellStyle name="Финансовый 2 12 2" xfId="4589"/>
    <cellStyle name="Финансовый 2 12 2 2" xfId="4590"/>
    <cellStyle name="Финансовый 2 12 2 2 2" xfId="4591"/>
    <cellStyle name="Финансовый 2 12 2 3" xfId="4592"/>
    <cellStyle name="Финансовый 2 12 3" xfId="4593"/>
    <cellStyle name="Финансовый 2 12 3 2" xfId="4594"/>
    <cellStyle name="Финансовый 2 12 4" xfId="4595"/>
    <cellStyle name="Финансовый 2 13" xfId="4596"/>
    <cellStyle name="Финансовый 2 13 2" xfId="4597"/>
    <cellStyle name="Финансовый 2 13 2 2" xfId="4598"/>
    <cellStyle name="Финансовый 2 13 3" xfId="4599"/>
    <cellStyle name="Финансовый 2 14" xfId="4600"/>
    <cellStyle name="Финансовый 2 15" xfId="4601"/>
    <cellStyle name="Финансовый 2 2" xfId="4602"/>
    <cellStyle name="Финансовый 2 2 10" xfId="4603"/>
    <cellStyle name="Финансовый 2 2 11" xfId="4604"/>
    <cellStyle name="Финансовый 2 2 12" xfId="4605"/>
    <cellStyle name="Финансовый 2 2 2" xfId="4606"/>
    <cellStyle name="Финансовый 2 2 2 2" xfId="4607"/>
    <cellStyle name="Финансовый 2 2 3" xfId="4608"/>
    <cellStyle name="Финансовый 2 2 3 2" xfId="4609"/>
    <cellStyle name="Финансовый 2 2 4" xfId="4610"/>
    <cellStyle name="Финансовый 2 2 4 2" xfId="4611"/>
    <cellStyle name="Финансовый 2 2 5" xfId="4612"/>
    <cellStyle name="Финансовый 2 2 5 2" xfId="4613"/>
    <cellStyle name="Финансовый 2 2 6" xfId="4614"/>
    <cellStyle name="Финансовый 2 2 6 2" xfId="4615"/>
    <cellStyle name="Финансовый 2 2 7" xfId="4616"/>
    <cellStyle name="Финансовый 2 2 7 2" xfId="4617"/>
    <cellStyle name="Финансовый 2 2 8" xfId="4618"/>
    <cellStyle name="Финансовый 2 2 8 2" xfId="4619"/>
    <cellStyle name="Финансовый 2 2 9" xfId="4620"/>
    <cellStyle name="Финансовый 2 2_Лавровая_ред" xfId="4621"/>
    <cellStyle name="Финансовый 2 3" xfId="4622"/>
    <cellStyle name="Финансовый 2 3 2" xfId="4623"/>
    <cellStyle name="Финансовый 2 4" xfId="4624"/>
    <cellStyle name="Финансовый 2 5" xfId="4625"/>
    <cellStyle name="Финансовый 2 6" xfId="4626"/>
    <cellStyle name="Финансовый 2 6 2" xfId="4627"/>
    <cellStyle name="Финансовый 2 6 2 2" xfId="4628"/>
    <cellStyle name="Финансовый 2 6 2 2 2" xfId="4629"/>
    <cellStyle name="Финансовый 2 6 2 2 2 2" xfId="4630"/>
    <cellStyle name="Финансовый 2 6 2 2 2 2 2" xfId="4631"/>
    <cellStyle name="Финансовый 2 6 2 2 2 3" xfId="4632"/>
    <cellStyle name="Финансовый 2 6 2 2 3" xfId="4633"/>
    <cellStyle name="Финансовый 2 6 2 2 3 2" xfId="4634"/>
    <cellStyle name="Финансовый 2 6 2 2 4" xfId="4635"/>
    <cellStyle name="Финансовый 2 6 2 3" xfId="4636"/>
    <cellStyle name="Финансовый 2 6 2 3 2" xfId="4637"/>
    <cellStyle name="Финансовый 2 6 2 3 2 2" xfId="4638"/>
    <cellStyle name="Финансовый 2 6 2 3 3" xfId="4639"/>
    <cellStyle name="Финансовый 2 6 2 4" xfId="4640"/>
    <cellStyle name="Финансовый 2 6 2 4 2" xfId="4641"/>
    <cellStyle name="Финансовый 2 6 2 5" xfId="4642"/>
    <cellStyle name="Финансовый 2 6 3" xfId="4643"/>
    <cellStyle name="Финансовый 2 6 3 2" xfId="4644"/>
    <cellStyle name="Финансовый 2 6 3 2 2" xfId="4645"/>
    <cellStyle name="Финансовый 2 6 3 2 2 2" xfId="4646"/>
    <cellStyle name="Финансовый 2 6 3 2 3" xfId="4647"/>
    <cellStyle name="Финансовый 2 6 3 3" xfId="4648"/>
    <cellStyle name="Финансовый 2 6 3 3 2" xfId="4649"/>
    <cellStyle name="Финансовый 2 6 3 4" xfId="4650"/>
    <cellStyle name="Финансовый 2 6 4" xfId="4651"/>
    <cellStyle name="Финансовый 2 6 4 2" xfId="4652"/>
    <cellStyle name="Финансовый 2 6 4 2 2" xfId="4653"/>
    <cellStyle name="Финансовый 2 6 4 3" xfId="4654"/>
    <cellStyle name="Финансовый 2 6 5" xfId="4655"/>
    <cellStyle name="Финансовый 2 6 5 2" xfId="4656"/>
    <cellStyle name="Финансовый 2 6 6" xfId="4657"/>
    <cellStyle name="Финансовый 2 6 7" xfId="4658"/>
    <cellStyle name="Финансовый 2 7" xfId="4659"/>
    <cellStyle name="Финансовый 2 7 2" xfId="4660"/>
    <cellStyle name="Финансовый 2 7 2 2" xfId="4661"/>
    <cellStyle name="Финансовый 2 7 2 2 2" xfId="4662"/>
    <cellStyle name="Финансовый 2 7 2 2 2 2" xfId="4663"/>
    <cellStyle name="Финансовый 2 7 2 2 3" xfId="4664"/>
    <cellStyle name="Финансовый 2 7 2 3" xfId="4665"/>
    <cellStyle name="Финансовый 2 7 2 3 2" xfId="4666"/>
    <cellStyle name="Финансовый 2 7 2 4" xfId="4667"/>
    <cellStyle name="Финансовый 2 7 3" xfId="4668"/>
    <cellStyle name="Финансовый 2 7 3 2" xfId="4669"/>
    <cellStyle name="Финансовый 2 7 3 2 2" xfId="4670"/>
    <cellStyle name="Финансовый 2 7 3 3" xfId="4671"/>
    <cellStyle name="Финансовый 2 7 4" xfId="4672"/>
    <cellStyle name="Финансовый 2 7 4 2" xfId="4673"/>
    <cellStyle name="Финансовый 2 7 5" xfId="4674"/>
    <cellStyle name="Финансовый 2 8" xfId="4675"/>
    <cellStyle name="Финансовый 2 8 2" xfId="4676"/>
    <cellStyle name="Финансовый 2 8 2 2" xfId="4677"/>
    <cellStyle name="Финансовый 2 8 2 2 2" xfId="4678"/>
    <cellStyle name="Финансовый 2 8 2 2 2 2" xfId="4679"/>
    <cellStyle name="Финансовый 2 8 2 2 3" xfId="4680"/>
    <cellStyle name="Финансовый 2 8 2 3" xfId="4681"/>
    <cellStyle name="Финансовый 2 8 2 3 2" xfId="4682"/>
    <cellStyle name="Финансовый 2 8 2 4" xfId="4683"/>
    <cellStyle name="Финансовый 2 8 3" xfId="4684"/>
    <cellStyle name="Финансовый 2 8 3 2" xfId="4685"/>
    <cellStyle name="Финансовый 2 8 3 2 2" xfId="4686"/>
    <cellStyle name="Финансовый 2 8 3 3" xfId="4687"/>
    <cellStyle name="Финансовый 2 8 4" xfId="4688"/>
    <cellStyle name="Финансовый 2 8 4 2" xfId="4689"/>
    <cellStyle name="Финансовый 2 8 5" xfId="4690"/>
    <cellStyle name="Финансовый 2 9" xfId="4691"/>
    <cellStyle name="Финансовый 2 9 2" xfId="4692"/>
    <cellStyle name="Финансовый 2 9 2 2" xfId="4693"/>
    <cellStyle name="Финансовый 2 9 2 2 2" xfId="4694"/>
    <cellStyle name="Финансовый 2 9 2 2 2 2" xfId="4695"/>
    <cellStyle name="Финансовый 2 9 2 2 3" xfId="4696"/>
    <cellStyle name="Финансовый 2 9 2 3" xfId="4697"/>
    <cellStyle name="Финансовый 2 9 2 3 2" xfId="4698"/>
    <cellStyle name="Финансовый 2 9 2 4" xfId="4699"/>
    <cellStyle name="Финансовый 2 9 3" xfId="4700"/>
    <cellStyle name="Финансовый 2 9 3 2" xfId="4701"/>
    <cellStyle name="Финансовый 2 9 3 2 2" xfId="4702"/>
    <cellStyle name="Финансовый 2 9 3 3" xfId="4703"/>
    <cellStyle name="Финансовый 2 9 4" xfId="4704"/>
    <cellStyle name="Финансовый 2 9 4 2" xfId="4705"/>
    <cellStyle name="Финансовый 2 9 5" xfId="4706"/>
    <cellStyle name="Финансовый 2_23 Аибга" xfId="4707"/>
    <cellStyle name="Финансовый 3" xfId="4708"/>
    <cellStyle name="Финансовый 3 2" xfId="4709"/>
    <cellStyle name="Финансовый 3 2 2" xfId="4710"/>
    <cellStyle name="Финансовый 3 2 2 2" xfId="4711"/>
    <cellStyle name="Финансовый 3 2 3" xfId="4712"/>
    <cellStyle name="Финансовый 3 2 4" xfId="4713"/>
    <cellStyle name="Финансовый 3 3" xfId="4714"/>
    <cellStyle name="Финансовый 3 4" xfId="4715"/>
    <cellStyle name="Финансовый 3 5" xfId="4716"/>
    <cellStyle name="Финансовый 3_01 Красная Воля - Воронцовка" xfId="4717"/>
    <cellStyle name="Финансовый 4" xfId="4718"/>
    <cellStyle name="Финансовый 4 2" xfId="4719"/>
    <cellStyle name="Финансовый 4 2 2" xfId="4720"/>
    <cellStyle name="Финансовый 4 2 2 2" xfId="4721"/>
    <cellStyle name="Финансовый 4 2 2 3" xfId="4722"/>
    <cellStyle name="Финансовый 4 3" xfId="4723"/>
    <cellStyle name="Финансовый 4 3 2" xfId="4724"/>
    <cellStyle name="Финансовый 4 4" xfId="4725"/>
    <cellStyle name="Финансовый 4_23 Аибга" xfId="4726"/>
    <cellStyle name="Финансовый 5" xfId="4727"/>
    <cellStyle name="Финансовый 5 2" xfId="4728"/>
    <cellStyle name="Финансовый 5 2 2" xfId="4729"/>
    <cellStyle name="Финансовый 5 3" xfId="4730"/>
    <cellStyle name="Финансовый 6" xfId="4731"/>
    <cellStyle name="Финансовый 6 2" xfId="4732"/>
    <cellStyle name="Финансовый 6 2 2" xfId="4733"/>
    <cellStyle name="Финансовый 6 3" xfId="4734"/>
    <cellStyle name="Финансовый 7" xfId="4735"/>
    <cellStyle name="Финансовый 7 2" xfId="4736"/>
    <cellStyle name="Финансовый 7 2 2" xfId="4737"/>
    <cellStyle name="Финансовый 7 3" xfId="4738"/>
    <cellStyle name="Финансовый 8" xfId="4739"/>
    <cellStyle name="Финансовый 8 2" xfId="4740"/>
    <cellStyle name="Финансовый 9" xfId="4741"/>
    <cellStyle name="Финансовый 9 2" xfId="4742"/>
    <cellStyle name="Формула" xfId="4743"/>
    <cellStyle name="Хвост" xfId="4744"/>
    <cellStyle name="Хороший 10" xfId="4745"/>
    <cellStyle name="Хороший 11" xfId="4746"/>
    <cellStyle name="Хороший 2" xfId="4747"/>
    <cellStyle name="Хороший 3" xfId="4748"/>
    <cellStyle name="Хороший 4" xfId="4749"/>
    <cellStyle name="Хороший 5" xfId="4750"/>
    <cellStyle name="Хороший 6" xfId="4751"/>
    <cellStyle name="Хороший 7" xfId="4752"/>
    <cellStyle name="Хороший 8" xfId="4753"/>
    <cellStyle name="Хороший 9" xfId="47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9A2285-8E17-4A7A-ADD4-F9636634C68A}" diskRevisions="1" revisionId="143" version="19">
  <header guid="{1D928092-A8D5-42FE-B9AB-E48C0D9958ED}" dateTime="2025-06-16T08:45:22" maxSheetId="2" userName="Жирохова Наталья Николаевна" r:id="rId1">
    <sheetIdMap count="1">
      <sheetId val="1"/>
    </sheetIdMap>
  </header>
  <header guid="{613CEDDC-052C-4BB5-B35A-8127160C2B36}" dateTime="2025-06-16T09:56:03" maxSheetId="2" userName="Касаткина Светлана Андреевна" r:id="rId2" minRId="1" maxRId="30">
    <sheetIdMap count="1">
      <sheetId val="1"/>
    </sheetIdMap>
  </header>
  <header guid="{60F86D9F-1CF4-420B-B6EA-B60621F4CEC1}" dateTime="2025-06-16T10:24:17" maxSheetId="2" userName="Касаткина Светлана Андреевна" r:id="rId3" minRId="31" maxRId="66">
    <sheetIdMap count="1">
      <sheetId val="1"/>
    </sheetIdMap>
  </header>
  <header guid="{E86E6152-6860-4299-9174-7DBE95D9BD0E}" dateTime="2025-06-16T11:20:53" maxSheetId="2" userName="Жирохова Наталья Николаевна" r:id="rId4" minRId="68" maxRId="78">
    <sheetIdMap count="1">
      <sheetId val="1"/>
    </sheetIdMap>
  </header>
  <header guid="{8687CFC8-3382-41B2-80CC-EA4C4C31C73C}" dateTime="2025-06-16T11:23:28" maxSheetId="2" userName="Жирохова Наталья Николаевна" r:id="rId5" minRId="79" maxRId="81">
    <sheetIdMap count="1">
      <sheetId val="1"/>
    </sheetIdMap>
  </header>
  <header guid="{BBB8C9B3-DFB9-4A0D-B508-8BD3CFFC0377}" dateTime="2025-06-16T11:28:16" maxSheetId="2" userName="Жирохова Наталья Николаевна" r:id="rId6" minRId="82" maxRId="99">
    <sheetIdMap count="1">
      <sheetId val="1"/>
    </sheetIdMap>
  </header>
  <header guid="{C9D9041C-81AF-46C2-9E58-7DC7BB35A0A1}" dateTime="2025-06-16T11:28:23" maxSheetId="2" userName="Жирохова Наталья Николаевна" r:id="rId7">
    <sheetIdMap count="1">
      <sheetId val="1"/>
    </sheetIdMap>
  </header>
  <header guid="{F186D16F-743B-4F39-881D-49464B19FD58}" dateTime="2025-06-16T11:31:23" maxSheetId="2" userName="Жирохова Наталья Николаевна" r:id="rId8" minRId="102" maxRId="110">
    <sheetIdMap count="1">
      <sheetId val="1"/>
    </sheetIdMap>
  </header>
  <header guid="{ECD2FBD0-7D7B-4928-9119-BFE291B26AB6}" dateTime="2025-06-16T11:33:05" maxSheetId="2" userName="Жирохова Наталья Николаевна" r:id="rId9" minRId="113" maxRId="119">
    <sheetIdMap count="1">
      <sheetId val="1"/>
    </sheetIdMap>
  </header>
  <header guid="{20842390-88B9-4597-B217-68BB6275AB6E}" dateTime="2025-06-16T11:33:15" maxSheetId="2" userName="Жирохова Наталья Николаевна" r:id="rId10">
    <sheetIdMap count="1">
      <sheetId val="1"/>
    </sheetIdMap>
  </header>
  <header guid="{F16F3CD5-AE69-4D57-8C3F-8943772E6379}" dateTime="2025-06-16T14:20:28" maxSheetId="2" userName="Жирохова Наталья Николаевна" r:id="rId11" minRId="122" maxRId="127">
    <sheetIdMap count="1">
      <sheetId val="1"/>
    </sheetIdMap>
  </header>
  <header guid="{6FC6D304-88C4-4E11-AF43-DB7B50AACA84}" dateTime="2025-06-16T16:13:29" maxSheetId="2" userName="Жирохова Наталья Николаевна" r:id="rId12" minRId="128">
    <sheetIdMap count="1">
      <sheetId val="1"/>
    </sheetIdMap>
  </header>
  <header guid="{AC076658-9336-48F7-A50F-B39EFE1858E7}" dateTime="2025-06-16T16:32:55" maxSheetId="2" userName="Жирохова Наталья Николаевна" r:id="rId13" minRId="131">
    <sheetIdMap count="1">
      <sheetId val="1"/>
    </sheetIdMap>
  </header>
  <header guid="{72C1D396-F6A9-4D7A-8968-C187B2A5A4E8}" dateTime="2025-06-16T16:33:04" maxSheetId="2" userName="Жирохова Наталья Николаевна" r:id="rId14">
    <sheetIdMap count="1">
      <sheetId val="1"/>
    </sheetIdMap>
  </header>
  <header guid="{E4E88E59-390E-47B0-A4EF-DD0DDCCF14A9}" dateTime="2025-06-16T16:40:12" maxSheetId="2" userName="Жирохова Наталья Николаевна" r:id="rId15">
    <sheetIdMap count="1">
      <sheetId val="1"/>
    </sheetIdMap>
  </header>
  <header guid="{3C337623-EF75-4CF6-AA96-BA4DE0FE7C3B}" dateTime="2025-06-16T16:46:46" maxSheetId="2" userName="Жирохова Наталья Николаевна" r:id="rId16">
    <sheetIdMap count="1">
      <sheetId val="1"/>
    </sheetIdMap>
  </header>
  <header guid="{D377B55E-8363-48C7-B7CA-45F61371FF29}" dateTime="2025-06-16T17:09:36" maxSheetId="2" userName="Жирохова Наталья Николаевна" r:id="rId17" minRId="136">
    <sheetIdMap count="1">
      <sheetId val="1"/>
    </sheetIdMap>
  </header>
  <header guid="{17390B4C-1950-4484-A60B-6B7C742AC621}" dateTime="2025-06-17T08:22:16" maxSheetId="2" userName="Жирохова Наталья Николаевна" r:id="rId18" minRId="139">
    <sheetIdMap count="1">
      <sheetId val="1"/>
    </sheetIdMap>
  </header>
  <header guid="{1F9A2285-8E17-4A7A-ADD4-F9636634C68A}" dateTime="2025-06-17T16:45:44" maxSheetId="2" userName="Жирохова Наталья Николаевна" r:id="rId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P390" start="0" length="0">
    <dxf>
      <fill>
        <patternFill patternType="solid">
          <bgColor theme="0" tint="-4.9989318521683403E-2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323:K323">
    <dxf>
      <fill>
        <patternFill patternType="solid">
          <bgColor theme="3" tint="0.59999389629810485"/>
        </patternFill>
      </fill>
    </dxf>
  </rfmt>
  <rcc rId="122" sId="1">
    <oc r="J323">
      <v>6.1332399999999998</v>
    </oc>
    <nc r="J323">
      <v>8.3995499999999996</v>
    </nc>
  </rcc>
  <rcc rId="123" sId="1" numFmtId="4">
    <oc r="O323">
      <v>5.8039338699999998</v>
    </oc>
    <nc r="O323">
      <f>J323-N323</f>
    </nc>
  </rcc>
  <rcc rId="124" sId="1" odxf="1" dxf="1">
    <oc r="AB323">
      <f>O323</f>
    </oc>
    <nc r="AB323">
      <f>O323</f>
    </nc>
    <odxf>
      <numFmt numFmtId="0" formatCode="General"/>
    </odxf>
    <ndxf>
      <numFmt numFmtId="169" formatCode="0.00000000"/>
    </ndxf>
  </rcc>
  <rcc rId="125" sId="1">
    <oc r="O337">
      <v>13.24574713</v>
    </oc>
    <nc r="O337">
      <f>13.24574713-2.26631</f>
    </nc>
  </rcc>
  <rcc rId="126" sId="1">
    <oc r="AA337">
      <v>2025</v>
    </oc>
    <nc r="AA337">
      <v>2026</v>
    </nc>
  </rcc>
  <rcc rId="127" sId="1">
    <oc r="Z337">
      <v>2024</v>
    </oc>
    <nc r="Z337">
      <v>2025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4">
    <oc r="O342">
      <f>8.33835351-3</f>
    </oc>
    <nc r="O342">
      <v>5.3383504500000001</v>
    </nc>
  </rcc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" sId="1">
    <oc r="AA338">
      <v>2025</v>
    </oc>
    <nc r="AA338">
      <v>2026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W3:AD5" start="0" length="2147483647">
    <dxf>
      <font>
        <color auto="1"/>
      </font>
    </dxf>
  </rfmt>
  <rfmt sheetId="1" sqref="J323:K323">
    <dxf>
      <fill>
        <patternFill patternType="none">
          <bgColor auto="1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14:AD114" start="0" length="2147483647">
    <dxf>
      <font>
        <color rgb="FFFF0000"/>
      </font>
    </dxf>
  </rfmt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 odxf="1" dxf="1">
    <oc r="AC114">
      <v>2023</v>
    </oc>
    <nc r="AC114">
      <v>2024</v>
    </nc>
    <odxf>
      <font>
        <sz val="8"/>
        <color rgb="FFFF0000"/>
        <name val="Times New Roman"/>
        <scheme val="none"/>
      </font>
      <fill>
        <patternFill patternType="none">
          <bgColor indexed="65"/>
        </patternFill>
      </fill>
    </odxf>
    <ndxf>
      <font>
        <sz val="8"/>
        <color rgb="FFFF0000"/>
        <name val="Times New Roman"/>
        <scheme val="none"/>
      </font>
      <fill>
        <patternFill patternType="solid">
          <bgColor rgb="FF92D050"/>
        </patternFill>
      </fill>
    </ndxf>
  </rcc>
  <rfmt sheetId="1" sqref="A114:AD114" start="0" length="2147483647">
    <dxf>
      <font>
        <color auto="1"/>
      </font>
    </dxf>
  </rfmt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1" odxf="1" dxf="1">
    <oc r="A1" t="inlineStr">
      <is>
        <r>
          <t>«</t>
        </r>
        <r>
          <rPr>
            <b/>
            <sz val="14"/>
            <color indexed="8"/>
            <rFont val="Times New Roman"/>
            <family val="1"/>
            <charset val="204"/>
          </rPr>
          <t>2. План мероприятий Программы</t>
        </r>
      </is>
    </oc>
    <nc r="A1" t="inlineStr">
      <is>
        <t>"2. План мероприятий Программы "</t>
      </is>
    </nc>
    <odxf>
      <font>
        <b val="0"/>
        <sz val="14"/>
        <name val="Times New Roman"/>
        <scheme val="none"/>
      </font>
    </odxf>
    <ndxf>
      <font>
        <b/>
        <sz val="14"/>
        <color indexed="8"/>
        <name val="Times New Roman"/>
        <scheme val="none"/>
      </font>
    </ndxf>
  </rcc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O362:O367" start="0" length="2147483647">
    <dxf>
      <font>
        <color auto="1"/>
      </font>
    </dxf>
  </rfmt>
  <rfmt sheetId="1" sqref="O390" start="0" length="0">
    <dxf>
      <font>
        <b val="0"/>
        <sz val="8"/>
        <name val="Times New Roman"/>
        <scheme val="none"/>
      </font>
      <fill>
        <patternFill>
          <bgColor theme="0" tint="-4.9989318521683403E-2"/>
        </patternFill>
      </fill>
    </dxf>
  </rfmt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9">
    <dxf>
      <fill>
        <patternFill patternType="solid">
          <bgColor rgb="FFFFFF00"/>
        </patternFill>
      </fill>
    </dxf>
  </rfmt>
  <rfmt sheetId="1" sqref="E29">
    <dxf>
      <fill>
        <patternFill patternType="none">
          <bgColor auto="1"/>
        </patternFill>
      </fill>
    </dxf>
  </rfmt>
  <rcc rId="1" sId="1">
    <oc r="AC37">
      <v>2023</v>
    </oc>
    <nc r="AC37">
      <v>2024</v>
    </nc>
  </rcc>
  <rfmt sheetId="1" sqref="AC37">
    <dxf>
      <fill>
        <patternFill patternType="solid">
          <bgColor rgb="FF92D050"/>
        </patternFill>
      </fill>
    </dxf>
  </rfmt>
  <rcc rId="2" sId="1">
    <oc r="Z38">
      <v>2024</v>
    </oc>
    <nc r="Z38">
      <v>2025</v>
    </nc>
  </rcc>
  <rfmt sheetId="1" sqref="Z38">
    <dxf>
      <fill>
        <patternFill patternType="solid">
          <bgColor rgb="FF92D050"/>
        </patternFill>
      </fill>
    </dxf>
  </rfmt>
  <rcc rId="3" sId="1">
    <oc r="AA38">
      <v>2025</v>
    </oc>
    <nc r="AA38">
      <v>2026</v>
    </nc>
  </rcc>
  <rfmt sheetId="1" sqref="AA38">
    <dxf>
      <fill>
        <patternFill patternType="solid">
          <bgColor rgb="FF92D050"/>
        </patternFill>
      </fill>
    </dxf>
  </rfmt>
  <rcc rId="4" sId="1">
    <oc r="AC38">
      <v>2026</v>
    </oc>
    <nc r="AC38">
      <v>2027</v>
    </nc>
  </rcc>
  <rfmt sheetId="1" sqref="AC38">
    <dxf>
      <fill>
        <patternFill patternType="solid">
          <bgColor rgb="FF92D050"/>
        </patternFill>
      </fill>
    </dxf>
  </rfmt>
  <rcc rId="5" sId="1" numFmtId="4">
    <oc r="E39">
      <v>4</v>
    </oc>
    <nc r="E39">
      <v>3.7</v>
    </nc>
  </rcc>
  <rfmt sheetId="1" sqref="E39">
    <dxf>
      <fill>
        <patternFill patternType="solid">
          <bgColor rgb="FF92D050"/>
        </patternFill>
      </fill>
    </dxf>
  </rfmt>
  <rcc rId="6" sId="1">
    <oc r="AC45">
      <v>2023</v>
    </oc>
    <nc r="AC45">
      <v>2024</v>
    </nc>
  </rcc>
  <rfmt sheetId="1" sqref="AC45">
    <dxf>
      <fill>
        <patternFill patternType="solid">
          <bgColor rgb="FF92D050"/>
        </patternFill>
      </fill>
    </dxf>
  </rfmt>
  <rcc rId="7" sId="1">
    <oc r="AC46">
      <v>2023</v>
    </oc>
    <nc r="AC46">
      <v>2024</v>
    </nc>
  </rcc>
  <rfmt sheetId="1" sqref="AC46">
    <dxf>
      <fill>
        <patternFill patternType="solid">
          <bgColor rgb="FF92D050"/>
        </patternFill>
      </fill>
    </dxf>
  </rfmt>
  <rcc rId="8" sId="1">
    <oc r="AA58">
      <v>2024</v>
    </oc>
    <nc r="AA58">
      <v>2025</v>
    </nc>
  </rcc>
  <rfmt sheetId="1" sqref="AA58">
    <dxf>
      <fill>
        <patternFill patternType="solid">
          <bgColor rgb="FF92D050"/>
        </patternFill>
      </fill>
    </dxf>
  </rfmt>
  <rcc rId="9" sId="1">
    <oc r="AC58">
      <v>2025</v>
    </oc>
    <nc r="AC58">
      <v>2026</v>
    </nc>
  </rcc>
  <rfmt sheetId="1" sqref="AC58">
    <dxf>
      <fill>
        <patternFill patternType="solid">
          <bgColor rgb="FF92D050"/>
        </patternFill>
      </fill>
    </dxf>
  </rfmt>
  <rcc rId="10" sId="1">
    <oc r="AA62">
      <v>2025</v>
    </oc>
    <nc r="AA62">
      <v>2026</v>
    </nc>
  </rcc>
  <rcc rId="11" sId="1">
    <oc r="AC62">
      <v>2026</v>
    </oc>
    <nc r="AC62">
      <v>2027</v>
    </nc>
  </rcc>
  <rfmt sheetId="1" sqref="AA62">
    <dxf>
      <fill>
        <patternFill patternType="solid">
          <bgColor rgb="FF92D050"/>
        </patternFill>
      </fill>
    </dxf>
  </rfmt>
  <rfmt sheetId="1" sqref="AC62">
    <dxf>
      <fill>
        <patternFill patternType="solid">
          <bgColor rgb="FF92D050"/>
        </patternFill>
      </fill>
    </dxf>
  </rfmt>
  <rcc rId="12" sId="1">
    <oc r="AA70">
      <v>2025</v>
    </oc>
    <nc r="AA70">
      <v>2026</v>
    </nc>
  </rcc>
  <rcc rId="13" sId="1">
    <oc r="AC70">
      <v>2026</v>
    </oc>
    <nc r="AC70">
      <v>2027</v>
    </nc>
  </rcc>
  <rfmt sheetId="1" sqref="AA70">
    <dxf>
      <fill>
        <patternFill patternType="solid">
          <bgColor rgb="FF92D050"/>
        </patternFill>
      </fill>
    </dxf>
  </rfmt>
  <rfmt sheetId="1" sqref="AC70">
    <dxf>
      <fill>
        <patternFill patternType="solid">
          <bgColor rgb="FF92D050"/>
        </patternFill>
      </fill>
    </dxf>
  </rfmt>
  <rcc rId="14" sId="1">
    <oc r="AC74">
      <v>2023</v>
    </oc>
    <nc r="AC74">
      <v>2024</v>
    </nc>
  </rcc>
  <rfmt sheetId="1" sqref="AC74">
    <dxf>
      <fill>
        <patternFill patternType="solid">
          <bgColor rgb="FF92D050"/>
        </patternFill>
      </fill>
    </dxf>
  </rfmt>
  <rcc rId="15" sId="1" numFmtId="4">
    <oc r="E82">
      <v>2.7</v>
    </oc>
    <nc r="E82">
      <v>2.5</v>
    </nc>
  </rcc>
  <rfmt sheetId="1" sqref="E82">
    <dxf>
      <fill>
        <patternFill patternType="solid">
          <bgColor rgb="FF92D050"/>
        </patternFill>
      </fill>
    </dxf>
  </rfmt>
  <rcc rId="16" sId="1">
    <oc r="AC84">
      <v>2023</v>
    </oc>
    <nc r="AC84">
      <v>2024</v>
    </nc>
  </rcc>
  <rfmt sheetId="1" sqref="AC84">
    <dxf>
      <fill>
        <patternFill patternType="solid">
          <bgColor rgb="FF92D050"/>
        </patternFill>
      </fill>
    </dxf>
  </rfmt>
  <rcc rId="17" sId="1">
    <oc r="AC85">
      <v>2023</v>
    </oc>
    <nc r="AC85">
      <v>2024</v>
    </nc>
  </rcc>
  <rfmt sheetId="1" sqref="AC85">
    <dxf>
      <fill>
        <patternFill patternType="solid">
          <bgColor rgb="FF92D050"/>
        </patternFill>
      </fill>
    </dxf>
  </rfmt>
  <rcc rId="18" sId="1">
    <oc r="AA87">
      <v>2025</v>
    </oc>
    <nc r="AA87">
      <v>2026</v>
    </nc>
  </rcc>
  <rcc rId="19" sId="1">
    <oc r="AC87">
      <v>2026</v>
    </oc>
    <nc r="AC87">
      <v>2027</v>
    </nc>
  </rcc>
  <rfmt sheetId="1" sqref="AA87">
    <dxf>
      <fill>
        <patternFill patternType="solid">
          <bgColor rgb="FF92D050"/>
        </patternFill>
      </fill>
    </dxf>
  </rfmt>
  <rfmt sheetId="1" sqref="AC87">
    <dxf>
      <fill>
        <patternFill patternType="solid">
          <bgColor rgb="FF92D050"/>
        </patternFill>
      </fill>
    </dxf>
  </rfmt>
  <rcc rId="20" sId="1">
    <oc r="AA88">
      <v>2023</v>
    </oc>
    <nc r="AA88">
      <v>2024</v>
    </nc>
  </rcc>
  <rfmt sheetId="1" sqref="AA88">
    <dxf>
      <fill>
        <patternFill patternType="solid">
          <bgColor rgb="FF92D050"/>
        </patternFill>
      </fill>
    </dxf>
  </rfmt>
  <rcc rId="21" sId="1">
    <oc r="AC88">
      <v>2024</v>
    </oc>
    <nc r="AC88">
      <v>2025</v>
    </nc>
  </rcc>
  <rfmt sheetId="1" sqref="AC88">
    <dxf>
      <fill>
        <patternFill patternType="solid">
          <bgColor rgb="FF92D050"/>
        </patternFill>
      </fill>
    </dxf>
  </rfmt>
  <rcc rId="22" sId="1">
    <oc r="Z98">
      <v>2025</v>
    </oc>
    <nc r="Z98">
      <v>2026</v>
    </nc>
  </rcc>
  <rfmt sheetId="1" sqref="Z98">
    <dxf>
      <fill>
        <patternFill patternType="solid">
          <bgColor rgb="FF92D050"/>
        </patternFill>
      </fill>
    </dxf>
  </rfmt>
  <rcc rId="23" sId="1">
    <oc r="Z99">
      <v>2025</v>
    </oc>
    <nc r="Z99">
      <v>2026</v>
    </nc>
  </rcc>
  <rfmt sheetId="1" sqref="Z99">
    <dxf>
      <fill>
        <patternFill patternType="solid">
          <bgColor rgb="FF92D050"/>
        </patternFill>
      </fill>
    </dxf>
  </rfmt>
  <rcc rId="24" sId="1">
    <oc r="Z100">
      <v>2025</v>
    </oc>
    <nc r="Z100">
      <v>2026</v>
    </nc>
  </rcc>
  <rfmt sheetId="1" sqref="Z100">
    <dxf>
      <fill>
        <patternFill patternType="solid">
          <bgColor rgb="FF92D050"/>
        </patternFill>
      </fill>
    </dxf>
  </rfmt>
  <rfmt sheetId="1" sqref="Z101">
    <dxf>
      <fill>
        <patternFill patternType="solid">
          <bgColor rgb="FF92D050"/>
        </patternFill>
      </fill>
    </dxf>
  </rfmt>
  <rcc rId="25" sId="1">
    <oc r="Z106">
      <v>2025</v>
    </oc>
    <nc r="Z106">
      <v>2026</v>
    </nc>
  </rcc>
  <rfmt sheetId="1" sqref="Z106">
    <dxf>
      <fill>
        <patternFill patternType="solid">
          <bgColor rgb="FF92D050"/>
        </patternFill>
      </fill>
    </dxf>
  </rfmt>
  <rcc rId="26" sId="1">
    <nc r="W112">
      <v>2016</v>
    </nc>
  </rcc>
  <rfmt sheetId="1" sqref="W112">
    <dxf>
      <fill>
        <patternFill patternType="solid">
          <bgColor rgb="FF92D050"/>
        </patternFill>
      </fill>
    </dxf>
  </rfmt>
  <rcc rId="27" sId="1">
    <nc r="X112">
      <v>2017</v>
    </nc>
  </rcc>
  <rfmt sheetId="1" sqref="X112">
    <dxf>
      <fill>
        <patternFill patternType="solid">
          <bgColor rgb="FF92D050"/>
        </patternFill>
      </fill>
    </dxf>
  </rfmt>
  <rcc rId="28" sId="1">
    <nc r="Z112">
      <v>2018</v>
    </nc>
  </rcc>
  <rfmt sheetId="1" sqref="Z112">
    <dxf>
      <fill>
        <patternFill patternType="solid">
          <bgColor rgb="FF92D050"/>
        </patternFill>
      </fill>
    </dxf>
  </rfmt>
  <rcc rId="29" sId="1">
    <nc r="AA112">
      <v>2020</v>
    </nc>
  </rcc>
  <rfmt sheetId="1" sqref="AA112">
    <dxf>
      <fill>
        <patternFill patternType="solid">
          <bgColor rgb="FF92D050"/>
        </patternFill>
      </fill>
    </dxf>
  </rfmt>
  <rcc rId="30" sId="1">
    <nc r="AC112">
      <v>2021</v>
    </nc>
  </rcc>
  <rfmt sheetId="1" sqref="AC112">
    <dxf>
      <fill>
        <patternFill patternType="solid">
          <bgColor rgb="FF92D05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X118">
    <dxf>
      <fill>
        <patternFill>
          <bgColor rgb="FF92D050"/>
        </patternFill>
      </fill>
    </dxf>
  </rfmt>
  <rfmt sheetId="1" sqref="X119">
    <dxf>
      <fill>
        <patternFill>
          <bgColor rgb="FF92D050"/>
        </patternFill>
      </fill>
    </dxf>
  </rfmt>
  <rfmt sheetId="1" sqref="X120">
    <dxf>
      <fill>
        <patternFill>
          <bgColor rgb="FF92D050"/>
        </patternFill>
      </fill>
    </dxf>
  </rfmt>
  <rfmt sheetId="1" sqref="X121">
    <dxf>
      <fill>
        <patternFill>
          <bgColor rgb="FF92D050"/>
        </patternFill>
      </fill>
    </dxf>
  </rfmt>
  <rfmt sheetId="1" sqref="X122">
    <dxf>
      <fill>
        <patternFill>
          <bgColor rgb="FF92D050"/>
        </patternFill>
      </fill>
    </dxf>
  </rfmt>
  <rfmt sheetId="1" sqref="X123">
    <dxf>
      <fill>
        <patternFill>
          <bgColor rgb="FF92D050"/>
        </patternFill>
      </fill>
    </dxf>
  </rfmt>
  <rfmt sheetId="1" sqref="X124">
    <dxf>
      <fill>
        <patternFill>
          <bgColor rgb="FF92D050"/>
        </patternFill>
      </fill>
    </dxf>
  </rfmt>
  <rfmt sheetId="1" sqref="X125">
    <dxf>
      <fill>
        <patternFill>
          <bgColor rgb="FF92D050"/>
        </patternFill>
      </fill>
    </dxf>
  </rfmt>
  <rcc rId="31" sId="1" numFmtId="4">
    <oc r="E126">
      <v>0.49</v>
    </oc>
    <nc r="E126">
      <v>0.7</v>
    </nc>
  </rcc>
  <rfmt sheetId="1" sqref="E126">
    <dxf>
      <fill>
        <patternFill patternType="solid">
          <bgColor rgb="FF92D050"/>
        </patternFill>
      </fill>
    </dxf>
  </rfmt>
  <rcc rId="32" sId="1" numFmtId="4">
    <oc r="E127">
      <v>1.28</v>
    </oc>
    <nc r="E127">
      <v>1.1000000000000001</v>
    </nc>
  </rcc>
  <rfmt sheetId="1" sqref="E127">
    <dxf>
      <fill>
        <patternFill patternType="solid">
          <bgColor rgb="FF92D050"/>
        </patternFill>
      </fill>
    </dxf>
  </rfmt>
  <rcc rId="33" sId="1" numFmtId="4">
    <oc r="E128">
      <v>2.29</v>
    </oc>
    <nc r="E128">
      <v>2.1</v>
    </nc>
  </rcc>
  <rfmt sheetId="1" sqref="E128">
    <dxf>
      <fill>
        <patternFill patternType="solid">
          <bgColor rgb="FF92D050"/>
        </patternFill>
      </fill>
    </dxf>
  </rfmt>
  <rcc rId="34" sId="1" numFmtId="4">
    <oc r="E129">
      <v>0.77</v>
    </oc>
    <nc r="E129">
      <v>0.6</v>
    </nc>
  </rcc>
  <rfmt sheetId="1" sqref="E129">
    <dxf>
      <fill>
        <patternFill patternType="solid">
          <bgColor rgb="FF92D050"/>
        </patternFill>
      </fill>
    </dxf>
  </rfmt>
  <rcc rId="35" sId="1" numFmtId="4">
    <oc r="E130">
      <v>6.5</v>
    </oc>
    <nc r="E130">
      <v>5.5</v>
    </nc>
  </rcc>
  <rfmt sheetId="1" sqref="E130">
    <dxf>
      <fill>
        <patternFill patternType="solid">
          <bgColor rgb="FF92D050"/>
        </patternFill>
      </fill>
    </dxf>
  </rfmt>
  <rfmt sheetId="1" sqref="X130">
    <dxf>
      <fill>
        <patternFill>
          <bgColor rgb="FF92D050"/>
        </patternFill>
      </fill>
    </dxf>
  </rfmt>
  <rfmt sheetId="1" sqref="AA130">
    <dxf>
      <fill>
        <patternFill>
          <bgColor rgb="FF92D050"/>
        </patternFill>
      </fill>
    </dxf>
  </rfmt>
  <rfmt sheetId="1" sqref="AC130">
    <dxf>
      <fill>
        <patternFill>
          <bgColor rgb="FF92D050"/>
        </patternFill>
      </fill>
    </dxf>
  </rfmt>
  <rfmt sheetId="1" sqref="X131">
    <dxf>
      <fill>
        <patternFill>
          <bgColor rgb="FF92D050"/>
        </patternFill>
      </fill>
    </dxf>
  </rfmt>
  <rfmt sheetId="1" sqref="X132">
    <dxf>
      <fill>
        <patternFill>
          <bgColor rgb="FF92D050"/>
        </patternFill>
      </fill>
    </dxf>
  </rfmt>
  <rfmt sheetId="1" sqref="X133">
    <dxf>
      <fill>
        <patternFill>
          <bgColor rgb="FF92D050"/>
        </patternFill>
      </fill>
    </dxf>
  </rfmt>
  <rfmt sheetId="1" sqref="X134">
    <dxf>
      <fill>
        <patternFill>
          <bgColor rgb="FF92D050"/>
        </patternFill>
      </fill>
    </dxf>
  </rfmt>
  <rfmt sheetId="1" sqref="X135">
    <dxf>
      <fill>
        <patternFill>
          <bgColor rgb="FF92D050"/>
        </patternFill>
      </fill>
    </dxf>
  </rfmt>
  <rfmt sheetId="1" sqref="X136">
    <dxf>
      <fill>
        <patternFill>
          <bgColor rgb="FF92D050"/>
        </patternFill>
      </fill>
    </dxf>
  </rfmt>
  <rcc rId="36" sId="1" numFmtId="4">
    <oc r="E137">
      <v>6.22</v>
    </oc>
    <nc r="E137">
      <v>4.5999999999999996</v>
    </nc>
  </rcc>
  <rcc rId="37" sId="1" numFmtId="4">
    <oc r="E138">
      <v>1.66</v>
    </oc>
    <nc r="E138">
      <v>1.2</v>
    </nc>
  </rcc>
  <rcc rId="38" sId="1" numFmtId="4">
    <oc r="E139">
      <v>5.56</v>
    </oc>
    <nc r="E139">
      <v>3</v>
    </nc>
  </rcc>
  <rcc rId="39" sId="1" numFmtId="4">
    <oc r="E140">
      <v>1.39</v>
    </oc>
    <nc r="E140">
      <v>0.8</v>
    </nc>
  </rcc>
  <rfmt sheetId="1" sqref="E137:E140">
    <dxf>
      <fill>
        <patternFill patternType="solid">
          <bgColor rgb="FF92D050"/>
        </patternFill>
      </fill>
    </dxf>
  </rfmt>
  <rcc rId="40" sId="1" numFmtId="4">
    <oc r="E142">
      <v>9.26</v>
    </oc>
    <nc r="E142">
      <v>6.7</v>
    </nc>
  </rcc>
  <rfmt sheetId="1" sqref="E142">
    <dxf>
      <fill>
        <patternFill patternType="solid">
          <bgColor rgb="FF92D050"/>
        </patternFill>
      </fill>
    </dxf>
  </rfmt>
  <rfmt sheetId="1" sqref="X145">
    <dxf>
      <fill>
        <patternFill>
          <bgColor rgb="FF92D050"/>
        </patternFill>
      </fill>
    </dxf>
  </rfmt>
  <rcc rId="41" sId="1" numFmtId="4">
    <oc r="E146">
      <v>2.21</v>
    </oc>
    <nc r="E146">
      <v>1.4</v>
    </nc>
  </rcc>
  <rcc rId="42" sId="1" numFmtId="4">
    <oc r="E147">
      <v>2.8</v>
    </oc>
    <nc r="E147">
      <v>4.4000000000000004</v>
    </nc>
  </rcc>
  <rfmt sheetId="1" sqref="E146:E147">
    <dxf>
      <fill>
        <patternFill patternType="solid">
          <bgColor rgb="FF92D050"/>
        </patternFill>
      </fill>
    </dxf>
  </rfmt>
  <rfmt sheetId="1" sqref="X148">
    <dxf>
      <fill>
        <patternFill>
          <bgColor rgb="FF92D050"/>
        </patternFill>
      </fill>
    </dxf>
  </rfmt>
  <rfmt sheetId="1" sqref="X151">
    <dxf>
      <fill>
        <patternFill>
          <bgColor rgb="FF92D050"/>
        </patternFill>
      </fill>
    </dxf>
  </rfmt>
  <rfmt sheetId="1" sqref="Z151">
    <dxf>
      <fill>
        <patternFill>
          <bgColor rgb="FF92D050"/>
        </patternFill>
      </fill>
    </dxf>
  </rfmt>
  <rfmt sheetId="1" sqref="X152">
    <dxf>
      <fill>
        <patternFill>
          <bgColor rgb="FF92D050"/>
        </patternFill>
      </fill>
    </dxf>
  </rfmt>
  <rfmt sheetId="1" sqref="Z152">
    <dxf>
      <fill>
        <patternFill>
          <bgColor rgb="FF92D050"/>
        </patternFill>
      </fill>
    </dxf>
  </rfmt>
  <rcc rId="43" sId="1" numFmtId="4">
    <oc r="E153">
      <v>2.2000000000000002</v>
    </oc>
    <nc r="E153">
      <v>1</v>
    </nc>
  </rcc>
  <rfmt sheetId="1" sqref="E153">
    <dxf>
      <fill>
        <patternFill patternType="solid">
          <bgColor rgb="FF92D050"/>
        </patternFill>
      </fill>
    </dxf>
  </rfmt>
  <rfmt sheetId="1" sqref="X154">
    <dxf>
      <fill>
        <patternFill>
          <bgColor rgb="FF92D050"/>
        </patternFill>
      </fill>
    </dxf>
  </rfmt>
  <rfmt sheetId="1" sqref="X155">
    <dxf>
      <fill>
        <patternFill>
          <bgColor rgb="FF92D050"/>
        </patternFill>
      </fill>
    </dxf>
  </rfmt>
  <rfmt sheetId="1" sqref="X156">
    <dxf>
      <fill>
        <patternFill>
          <bgColor rgb="FF92D050"/>
        </patternFill>
      </fill>
    </dxf>
  </rfmt>
  <rfmt sheetId="1" sqref="X157">
    <dxf>
      <fill>
        <patternFill>
          <bgColor rgb="FF92D050"/>
        </patternFill>
      </fill>
    </dxf>
  </rfmt>
  <rfmt sheetId="1" sqref="X158">
    <dxf>
      <fill>
        <patternFill>
          <bgColor rgb="FF92D050"/>
        </patternFill>
      </fill>
    </dxf>
  </rfmt>
  <rfmt sheetId="1" sqref="X159">
    <dxf>
      <fill>
        <patternFill>
          <bgColor rgb="FF92D050"/>
        </patternFill>
      </fill>
    </dxf>
  </rfmt>
  <rfmt sheetId="1" sqref="X160">
    <dxf>
      <fill>
        <patternFill>
          <bgColor rgb="FF92D050"/>
        </patternFill>
      </fill>
    </dxf>
  </rfmt>
  <rfmt sheetId="1" sqref="X161">
    <dxf>
      <fill>
        <patternFill>
          <bgColor rgb="FF92D050"/>
        </patternFill>
      </fill>
    </dxf>
  </rfmt>
  <rfmt sheetId="1" sqref="Z161">
    <dxf>
      <fill>
        <patternFill>
          <bgColor rgb="FF92D050"/>
        </patternFill>
      </fill>
    </dxf>
  </rfmt>
  <rfmt sheetId="1" sqref="AA161">
    <dxf>
      <fill>
        <patternFill>
          <bgColor rgb="FF92D050"/>
        </patternFill>
      </fill>
    </dxf>
  </rfmt>
  <rfmt sheetId="1" sqref="AC161">
    <dxf>
      <fill>
        <patternFill>
          <bgColor rgb="FF92D050"/>
        </patternFill>
      </fill>
    </dxf>
  </rfmt>
  <rfmt sheetId="1" sqref="X162">
    <dxf>
      <fill>
        <patternFill>
          <bgColor rgb="FF92D050"/>
        </patternFill>
      </fill>
    </dxf>
  </rfmt>
  <rfmt sheetId="1" sqref="Z162">
    <dxf>
      <fill>
        <patternFill>
          <bgColor rgb="FF92D050"/>
        </patternFill>
      </fill>
    </dxf>
  </rfmt>
  <rfmt sheetId="1" sqref="AA162">
    <dxf>
      <fill>
        <patternFill>
          <bgColor rgb="FF92D050"/>
        </patternFill>
      </fill>
    </dxf>
  </rfmt>
  <rfmt sheetId="1" sqref="AC162">
    <dxf>
      <fill>
        <patternFill>
          <bgColor rgb="FF92D050"/>
        </patternFill>
      </fill>
    </dxf>
  </rfmt>
  <rfmt sheetId="1" sqref="X163">
    <dxf>
      <fill>
        <patternFill>
          <bgColor rgb="FF92D050"/>
        </patternFill>
      </fill>
    </dxf>
  </rfmt>
  <rfmt sheetId="1" sqref="Z163">
    <dxf>
      <fill>
        <patternFill>
          <bgColor rgb="FF92D050"/>
        </patternFill>
      </fill>
    </dxf>
  </rfmt>
  <rfmt sheetId="1" sqref="AA163">
    <dxf>
      <fill>
        <patternFill>
          <bgColor rgb="FF92D050"/>
        </patternFill>
      </fill>
    </dxf>
  </rfmt>
  <rfmt sheetId="1" sqref="AC163">
    <dxf>
      <fill>
        <patternFill>
          <bgColor rgb="FF92D050"/>
        </patternFill>
      </fill>
    </dxf>
  </rfmt>
  <rcc rId="44" sId="1" numFmtId="4">
    <oc r="E164">
      <v>0.56999999999999995</v>
    </oc>
    <nc r="E164">
      <v>0.4</v>
    </nc>
  </rcc>
  <rfmt sheetId="1" sqref="E164">
    <dxf>
      <fill>
        <patternFill patternType="solid">
          <bgColor rgb="FF92D050"/>
        </patternFill>
      </fill>
    </dxf>
  </rfmt>
  <rfmt sheetId="1" sqref="X164">
    <dxf>
      <fill>
        <patternFill>
          <bgColor rgb="FF92D050"/>
        </patternFill>
      </fill>
    </dxf>
  </rfmt>
  <rcc rId="45" sId="1" numFmtId="4">
    <oc r="E165">
      <v>0.98</v>
    </oc>
    <nc r="E165">
      <v>0.8</v>
    </nc>
  </rcc>
  <rfmt sheetId="1" sqref="E165">
    <dxf>
      <fill>
        <patternFill patternType="solid">
          <bgColor rgb="FF92D050"/>
        </patternFill>
      </fill>
    </dxf>
  </rfmt>
  <rfmt sheetId="1" sqref="X165">
    <dxf>
      <fill>
        <patternFill>
          <bgColor rgb="FF92D050"/>
        </patternFill>
      </fill>
    </dxf>
  </rfmt>
  <rfmt sheetId="1" sqref="X166">
    <dxf>
      <fill>
        <patternFill>
          <bgColor rgb="FF92D050"/>
        </patternFill>
      </fill>
    </dxf>
  </rfmt>
  <rcc rId="46" sId="1" numFmtId="4">
    <oc r="E167">
      <v>5.2</v>
    </oc>
    <nc r="E167">
      <v>3.7</v>
    </nc>
  </rcc>
  <rfmt sheetId="1" sqref="E167">
    <dxf>
      <fill>
        <patternFill patternType="solid">
          <bgColor rgb="FF92D050"/>
        </patternFill>
      </fill>
    </dxf>
  </rfmt>
  <rfmt sheetId="1" sqref="X167">
    <dxf>
      <fill>
        <patternFill>
          <bgColor rgb="FF92D050"/>
        </patternFill>
      </fill>
    </dxf>
  </rfmt>
  <rfmt sheetId="1" sqref="Z167">
    <dxf>
      <fill>
        <patternFill>
          <bgColor rgb="FF92D050"/>
        </patternFill>
      </fill>
    </dxf>
  </rfmt>
  <rfmt sheetId="1" sqref="AA167">
    <dxf>
      <fill>
        <patternFill>
          <bgColor rgb="FF92D050"/>
        </patternFill>
      </fill>
    </dxf>
  </rfmt>
  <rfmt sheetId="1" sqref="AC167">
    <dxf>
      <fill>
        <patternFill>
          <bgColor rgb="FF92D050"/>
        </patternFill>
      </fill>
    </dxf>
  </rfmt>
  <rcc rId="47" sId="1" numFmtId="4">
    <oc r="E168">
      <v>1.82</v>
    </oc>
    <nc r="E168">
      <v>1</v>
    </nc>
  </rcc>
  <rfmt sheetId="1" sqref="E168">
    <dxf>
      <fill>
        <patternFill patternType="solid">
          <bgColor rgb="FF92D050"/>
        </patternFill>
      </fill>
    </dxf>
  </rfmt>
  <rfmt sheetId="1" sqref="X168">
    <dxf>
      <fill>
        <patternFill>
          <bgColor rgb="FF92D050"/>
        </patternFill>
      </fill>
    </dxf>
  </rfmt>
  <rfmt sheetId="1" sqref="X169">
    <dxf>
      <fill>
        <patternFill>
          <bgColor rgb="FF92D050"/>
        </patternFill>
      </fill>
    </dxf>
  </rfmt>
  <rfmt sheetId="1" sqref="X170">
    <dxf>
      <fill>
        <patternFill>
          <bgColor rgb="FF92D050"/>
        </patternFill>
      </fill>
    </dxf>
  </rfmt>
  <rfmt sheetId="1" sqref="X171">
    <dxf>
      <fill>
        <patternFill>
          <bgColor rgb="FF92D050"/>
        </patternFill>
      </fill>
    </dxf>
  </rfmt>
  <rfmt sheetId="1" sqref="X172">
    <dxf>
      <fill>
        <patternFill>
          <bgColor rgb="FF92D050"/>
        </patternFill>
      </fill>
    </dxf>
  </rfmt>
  <rcc rId="48" sId="1" numFmtId="4">
    <oc r="E173">
      <v>6.7</v>
    </oc>
    <nc r="E173">
      <v>2.7</v>
    </nc>
  </rcc>
  <rfmt sheetId="1" sqref="E173">
    <dxf>
      <fill>
        <patternFill patternType="solid">
          <bgColor rgb="FF92D050"/>
        </patternFill>
      </fill>
    </dxf>
  </rfmt>
  <rfmt sheetId="1" sqref="X173">
    <dxf>
      <fill>
        <patternFill>
          <bgColor rgb="FF92D050"/>
        </patternFill>
      </fill>
    </dxf>
  </rfmt>
  <rfmt sheetId="1" sqref="Z173">
    <dxf>
      <fill>
        <patternFill>
          <bgColor rgb="FF92D050"/>
        </patternFill>
      </fill>
    </dxf>
  </rfmt>
  <rfmt sheetId="1" sqref="X174">
    <dxf>
      <fill>
        <patternFill>
          <bgColor rgb="FF92D050"/>
        </patternFill>
      </fill>
    </dxf>
  </rfmt>
  <rfmt sheetId="1" sqref="Z174">
    <dxf>
      <fill>
        <patternFill>
          <bgColor rgb="FF92D050"/>
        </patternFill>
      </fill>
    </dxf>
  </rfmt>
  <rcc rId="49" sId="1" numFmtId="4">
    <oc r="E174">
      <v>6.7</v>
    </oc>
    <nc r="E174">
      <v>4.4000000000000004</v>
    </nc>
  </rcc>
  <rfmt sheetId="1" sqref="E174">
    <dxf>
      <fill>
        <patternFill patternType="solid">
          <bgColor rgb="FF92D050"/>
        </patternFill>
      </fill>
    </dxf>
  </rfmt>
  <rcc rId="50" sId="1" numFmtId="4">
    <oc r="E175">
      <v>7.12</v>
    </oc>
    <nc r="E175">
      <v>8.1</v>
    </nc>
  </rcc>
  <rfmt sheetId="1" sqref="E175">
    <dxf>
      <fill>
        <patternFill patternType="solid">
          <bgColor rgb="FF92D050"/>
        </patternFill>
      </fill>
    </dxf>
  </rfmt>
  <rfmt sheetId="1" sqref="X175">
    <dxf>
      <fill>
        <patternFill>
          <bgColor rgb="FF92D050"/>
        </patternFill>
      </fill>
    </dxf>
  </rfmt>
  <rfmt sheetId="1" sqref="Z175">
    <dxf>
      <fill>
        <patternFill>
          <bgColor rgb="FF92D050"/>
        </patternFill>
      </fill>
    </dxf>
  </rfmt>
  <rcc rId="51" sId="1" numFmtId="4">
    <oc r="E176">
      <v>4.28</v>
    </oc>
    <nc r="E176">
      <v>5</v>
    </nc>
  </rcc>
  <rfmt sheetId="1" sqref="E176">
    <dxf>
      <fill>
        <patternFill patternType="solid">
          <bgColor rgb="FF92D050"/>
        </patternFill>
      </fill>
    </dxf>
  </rfmt>
  <rfmt sheetId="1" sqref="X176">
    <dxf>
      <fill>
        <patternFill>
          <bgColor rgb="FF92D050"/>
        </patternFill>
      </fill>
    </dxf>
  </rfmt>
  <rfmt sheetId="1" sqref="Z176">
    <dxf>
      <fill>
        <patternFill>
          <bgColor rgb="FF92D050"/>
        </patternFill>
      </fill>
    </dxf>
  </rfmt>
  <rcc rId="52" sId="1" numFmtId="4">
    <oc r="E177">
      <v>17.100000000000001</v>
    </oc>
    <nc r="E177">
      <v>11.7</v>
    </nc>
  </rcc>
  <rfmt sheetId="1" sqref="E177">
    <dxf>
      <fill>
        <patternFill patternType="solid">
          <bgColor rgb="FF92D050"/>
        </patternFill>
      </fill>
    </dxf>
  </rfmt>
  <rfmt sheetId="1" sqref="X177">
    <dxf>
      <fill>
        <patternFill>
          <bgColor rgb="FF92D050"/>
        </patternFill>
      </fill>
    </dxf>
  </rfmt>
  <rfmt sheetId="1" sqref="Z177">
    <dxf>
      <fill>
        <patternFill>
          <bgColor rgb="FF92D050"/>
        </patternFill>
      </fill>
    </dxf>
  </rfmt>
  <rcc rId="53" sId="1" numFmtId="4">
    <oc r="E178">
      <v>5</v>
    </oc>
    <nc r="E178">
      <v>2.1</v>
    </nc>
  </rcc>
  <rfmt sheetId="1" sqref="E178">
    <dxf>
      <fill>
        <patternFill patternType="solid">
          <bgColor rgb="FF92D050"/>
        </patternFill>
      </fill>
    </dxf>
  </rfmt>
  <rfmt sheetId="1" sqref="X178">
    <dxf>
      <fill>
        <patternFill>
          <bgColor rgb="FF92D050"/>
        </patternFill>
      </fill>
    </dxf>
  </rfmt>
  <rfmt sheetId="1" sqref="Z178">
    <dxf>
      <fill>
        <patternFill>
          <bgColor rgb="FF92D050"/>
        </patternFill>
      </fill>
    </dxf>
  </rfmt>
  <rfmt sheetId="1" sqref="AA178">
    <dxf>
      <fill>
        <patternFill>
          <bgColor rgb="FF92D050"/>
        </patternFill>
      </fill>
    </dxf>
  </rfmt>
  <rfmt sheetId="1" sqref="AC178">
    <dxf>
      <fill>
        <patternFill>
          <bgColor rgb="FF92D050"/>
        </patternFill>
      </fill>
    </dxf>
  </rfmt>
  <rfmt sheetId="1" sqref="X179">
    <dxf>
      <fill>
        <patternFill>
          <bgColor rgb="FF92D050"/>
        </patternFill>
      </fill>
    </dxf>
  </rfmt>
  <rfmt sheetId="1" sqref="X180">
    <dxf>
      <fill>
        <patternFill>
          <bgColor rgb="FF92D050"/>
        </patternFill>
      </fill>
    </dxf>
  </rfmt>
  <rfmt sheetId="1" sqref="X181">
    <dxf>
      <fill>
        <patternFill>
          <bgColor rgb="FF92D050"/>
        </patternFill>
      </fill>
    </dxf>
  </rfmt>
  <rfmt sheetId="1" sqref="X182">
    <dxf>
      <fill>
        <patternFill>
          <bgColor rgb="FF92D050"/>
        </patternFill>
      </fill>
    </dxf>
  </rfmt>
  <rcc rId="54" sId="1" numFmtId="4">
    <oc r="E188">
      <v>9.75</v>
    </oc>
    <nc r="E188">
      <v>8.6999999999999993</v>
    </nc>
  </rcc>
  <rfmt sheetId="1" sqref="E188">
    <dxf>
      <fill>
        <patternFill patternType="solid">
          <bgColor rgb="FF92D050"/>
        </patternFill>
      </fill>
    </dxf>
  </rfmt>
  <rfmt sheetId="1" sqref="X190">
    <dxf>
      <fill>
        <patternFill>
          <bgColor rgb="FF92D050"/>
        </patternFill>
      </fill>
    </dxf>
  </rfmt>
  <rfmt sheetId="1" sqref="Z190">
    <dxf>
      <fill>
        <patternFill>
          <bgColor rgb="FF92D050"/>
        </patternFill>
      </fill>
    </dxf>
  </rfmt>
  <rfmt sheetId="1" sqref="Z191">
    <dxf>
      <fill>
        <patternFill>
          <bgColor rgb="FF92D050"/>
        </patternFill>
      </fill>
    </dxf>
  </rfmt>
  <rfmt sheetId="1" sqref="X191">
    <dxf>
      <fill>
        <patternFill>
          <bgColor rgb="FF92D050"/>
        </patternFill>
      </fill>
    </dxf>
  </rfmt>
  <rcc rId="55" sId="1" numFmtId="4">
    <oc r="E192">
      <v>10.62</v>
    </oc>
    <nc r="E192">
      <v>9.4</v>
    </nc>
  </rcc>
  <rfmt sheetId="1" sqref="E192">
    <dxf>
      <fill>
        <patternFill patternType="solid">
          <bgColor rgb="FF92D050"/>
        </patternFill>
      </fill>
    </dxf>
  </rfmt>
  <rcc rId="56" sId="1" numFmtId="4">
    <oc r="E193">
      <v>1.1000000000000001</v>
    </oc>
    <nc r="E193">
      <v>1.7</v>
    </nc>
  </rcc>
  <rfmt sheetId="1" sqref="E193">
    <dxf>
      <fill>
        <patternFill patternType="solid">
          <bgColor rgb="FF92D050"/>
        </patternFill>
      </fill>
    </dxf>
  </rfmt>
  <rcc rId="57" sId="1" numFmtId="4">
    <oc r="E195">
      <v>3</v>
    </oc>
    <nc r="E195">
      <v>3.9</v>
    </nc>
  </rcc>
  <rfmt sheetId="1" sqref="E195">
    <dxf>
      <fill>
        <patternFill patternType="solid">
          <bgColor rgb="FF92D050"/>
        </patternFill>
      </fill>
    </dxf>
  </rfmt>
  <rcc rId="58" sId="1" numFmtId="4">
    <oc r="E198">
      <v>4.47</v>
    </oc>
    <nc r="E198">
      <v>3.9</v>
    </nc>
  </rcc>
  <rfmt sheetId="1" sqref="E198">
    <dxf>
      <fill>
        <patternFill patternType="solid">
          <bgColor rgb="FF92D050"/>
        </patternFill>
      </fill>
    </dxf>
  </rfmt>
  <rcc rId="59" sId="1" numFmtId="4">
    <oc r="E199">
      <v>1.86</v>
    </oc>
    <nc r="E199">
      <v>2.2999999999999998</v>
    </nc>
  </rcc>
  <rfmt sheetId="1" sqref="E199">
    <dxf>
      <fill>
        <patternFill patternType="solid">
          <bgColor rgb="FF92D050"/>
        </patternFill>
      </fill>
    </dxf>
  </rfmt>
  <rcc rId="60" sId="1" numFmtId="4">
    <oc r="E200">
      <v>4.67</v>
    </oc>
    <nc r="E200">
      <v>11.5</v>
    </nc>
  </rcc>
  <rfmt sheetId="1" sqref="E200">
    <dxf>
      <fill>
        <patternFill patternType="solid">
          <bgColor rgb="FF92D050"/>
        </patternFill>
      </fill>
    </dxf>
  </rfmt>
  <rcc rId="61" sId="1" numFmtId="4">
    <oc r="E201">
      <v>3.1</v>
    </oc>
    <nc r="E201">
      <v>4.7</v>
    </nc>
  </rcc>
  <rfmt sheetId="1" sqref="E201">
    <dxf>
      <fill>
        <patternFill patternType="solid">
          <bgColor rgb="FF92D050"/>
        </patternFill>
      </fill>
    </dxf>
  </rfmt>
  <rcc rId="62" sId="1" numFmtId="4">
    <oc r="E202">
      <v>3.1</v>
    </oc>
    <nc r="E202">
      <v>4.4000000000000004</v>
    </nc>
  </rcc>
  <rfmt sheetId="1" sqref="E202">
    <dxf>
      <fill>
        <patternFill patternType="solid">
          <bgColor rgb="FF92D050"/>
        </patternFill>
      </fill>
    </dxf>
  </rfmt>
  <rcc rId="63" sId="1" numFmtId="4">
    <oc r="E203">
      <v>1.56</v>
    </oc>
    <nc r="E203">
      <v>0.8</v>
    </nc>
  </rcc>
  <rfmt sheetId="1" sqref="E203">
    <dxf>
      <fill>
        <patternFill patternType="solid">
          <bgColor rgb="FF92D050"/>
        </patternFill>
      </fill>
    </dxf>
  </rfmt>
  <rcc rId="64" sId="1" numFmtId="4">
    <oc r="E204">
      <v>14.04</v>
    </oc>
    <nc r="E204">
      <v>4.9000000000000004</v>
    </nc>
  </rcc>
  <rfmt sheetId="1" sqref="E204">
    <dxf>
      <fill>
        <patternFill patternType="solid">
          <bgColor rgb="FF92D050"/>
        </patternFill>
      </fill>
    </dxf>
  </rfmt>
  <rfmt sheetId="1" sqref="X204">
    <dxf>
      <fill>
        <patternFill patternType="solid">
          <bgColor rgb="FF92D050"/>
        </patternFill>
      </fill>
    </dxf>
  </rfmt>
  <rfmt sheetId="1" sqref="Z204">
    <dxf>
      <fill>
        <patternFill patternType="solid">
          <bgColor rgb="FF92D050"/>
        </patternFill>
      </fill>
    </dxf>
  </rfmt>
  <rfmt sheetId="1" sqref="AA204">
    <dxf>
      <fill>
        <patternFill patternType="solid">
          <bgColor rgb="FF92D050"/>
        </patternFill>
      </fill>
    </dxf>
  </rfmt>
  <rfmt sheetId="1" sqref="AC204">
    <dxf>
      <fill>
        <patternFill patternType="solid">
          <bgColor rgb="FF92D050"/>
        </patternFill>
      </fill>
    </dxf>
  </rfmt>
  <rfmt sheetId="1" sqref="X205">
    <dxf>
      <fill>
        <patternFill>
          <bgColor rgb="FF92D050"/>
        </patternFill>
      </fill>
    </dxf>
  </rfmt>
  <rfmt sheetId="1" sqref="Z205">
    <dxf>
      <fill>
        <patternFill>
          <bgColor rgb="FF92D050"/>
        </patternFill>
      </fill>
    </dxf>
  </rfmt>
  <rfmt sheetId="1" sqref="AA205">
    <dxf>
      <fill>
        <patternFill>
          <bgColor rgb="FF92D050"/>
        </patternFill>
      </fill>
    </dxf>
  </rfmt>
  <rfmt sheetId="1" sqref="AC205">
    <dxf>
      <fill>
        <patternFill>
          <bgColor rgb="FF92D050"/>
        </patternFill>
      </fill>
    </dxf>
  </rfmt>
  <rfmt sheetId="1" sqref="X206">
    <dxf>
      <fill>
        <patternFill>
          <bgColor rgb="FF92D050"/>
        </patternFill>
      </fill>
    </dxf>
  </rfmt>
  <rfmt sheetId="1" sqref="Z206">
    <dxf>
      <fill>
        <patternFill>
          <bgColor rgb="FF92D050"/>
        </patternFill>
      </fill>
    </dxf>
  </rfmt>
  <rcc rId="65" sId="1" numFmtId="4">
    <oc r="E207">
      <v>6.8</v>
    </oc>
    <nc r="E207">
      <v>7.6</v>
    </nc>
  </rcc>
  <rfmt sheetId="1" sqref="E207">
    <dxf>
      <fill>
        <patternFill patternType="solid">
          <bgColor rgb="FF92D050"/>
        </patternFill>
      </fill>
    </dxf>
  </rfmt>
  <rcc rId="66" sId="1" numFmtId="4">
    <oc r="E208">
      <v>2.08</v>
    </oc>
    <nc r="E208">
      <v>2.1</v>
    </nc>
  </rcc>
  <rfmt sheetId="1" sqref="E208">
    <dxf>
      <fill>
        <patternFill patternType="solid">
          <bgColor rgb="FF92D050"/>
        </patternFill>
      </fill>
    </dxf>
  </rfmt>
  <rfmt sheetId="1" sqref="X209">
    <dxf>
      <fill>
        <patternFill>
          <bgColor rgb="FF92D050"/>
        </patternFill>
      </fill>
    </dxf>
  </rfmt>
  <rfmt sheetId="1" sqref="Z209">
    <dxf>
      <fill>
        <patternFill>
          <bgColor rgb="FF92D050"/>
        </patternFill>
      </fill>
    </dxf>
  </rfmt>
  <rfmt sheetId="1" sqref="X210">
    <dxf>
      <fill>
        <patternFill>
          <bgColor rgb="FF92D050"/>
        </patternFill>
      </fill>
    </dxf>
  </rfmt>
  <rfmt sheetId="1" sqref="Z210">
    <dxf>
      <fill>
        <patternFill>
          <bgColor rgb="FF92D050"/>
        </patternFill>
      </fill>
    </dxf>
  </rfmt>
  <rfmt sheetId="1" sqref="X211">
    <dxf>
      <fill>
        <patternFill>
          <bgColor rgb="FF92D050"/>
        </patternFill>
      </fill>
    </dxf>
  </rfmt>
  <rfmt sheetId="1" sqref="Z211">
    <dxf>
      <fill>
        <patternFill>
          <bgColor rgb="FF92D050"/>
        </patternFill>
      </fill>
    </dxf>
  </rfmt>
  <rfmt sheetId="1" sqref="X212">
    <dxf>
      <fill>
        <patternFill>
          <bgColor rgb="FF92D050"/>
        </patternFill>
      </fill>
    </dxf>
  </rfmt>
  <rfmt sheetId="1" sqref="Z212">
    <dxf>
      <fill>
        <patternFill>
          <bgColor rgb="FF92D050"/>
        </patternFill>
      </fill>
    </dxf>
  </rfmt>
  <rfmt sheetId="1" sqref="X213">
    <dxf>
      <fill>
        <patternFill>
          <bgColor rgb="FF92D050"/>
        </patternFill>
      </fill>
    </dxf>
  </rfmt>
  <rfmt sheetId="1" sqref="Z213">
    <dxf>
      <fill>
        <patternFill>
          <bgColor rgb="FF92D050"/>
        </patternFill>
      </fill>
    </dxf>
  </rfmt>
  <rfmt sheetId="1" sqref="Z214">
    <dxf>
      <fill>
        <patternFill>
          <bgColor rgb="FF92D050"/>
        </patternFill>
      </fill>
    </dxf>
  </rfmt>
  <rfmt sheetId="1" sqref="X214">
    <dxf>
      <fill>
        <patternFill>
          <bgColor rgb="FF92D050"/>
        </patternFill>
      </fill>
    </dxf>
  </rfmt>
  <rfmt sheetId="1" sqref="X215">
    <dxf>
      <fill>
        <patternFill>
          <bgColor rgb="FF92D050"/>
        </patternFill>
      </fill>
    </dxf>
  </rfmt>
  <rfmt sheetId="1" sqref="Z215">
    <dxf>
      <fill>
        <patternFill>
          <bgColor rgb="FF92D050"/>
        </patternFill>
      </fill>
    </dxf>
  </rfmt>
  <rfmt sheetId="1" sqref="X216">
    <dxf>
      <fill>
        <patternFill>
          <bgColor rgb="FF92D050"/>
        </patternFill>
      </fill>
    </dxf>
  </rfmt>
  <rfmt sheetId="1" sqref="Z216">
    <dxf>
      <fill>
        <patternFill>
          <bgColor rgb="FF92D050"/>
        </patternFill>
      </fill>
    </dxf>
  </rfmt>
  <rfmt sheetId="1" sqref="Z217">
    <dxf>
      <fill>
        <patternFill>
          <bgColor rgb="FF92D050"/>
        </patternFill>
      </fill>
    </dxf>
  </rfmt>
  <rfmt sheetId="1" sqref="X217">
    <dxf>
      <fill>
        <patternFill>
          <bgColor rgb="FF92D050"/>
        </patternFill>
      </fill>
    </dxf>
  </rfmt>
  <rfmt sheetId="1" sqref="X218">
    <dxf>
      <fill>
        <patternFill>
          <bgColor rgb="FF92D050"/>
        </patternFill>
      </fill>
    </dxf>
  </rfmt>
  <rfmt sheetId="1" sqref="Z218">
    <dxf>
      <fill>
        <patternFill>
          <bgColor rgb="FF92D050"/>
        </patternFill>
      </fill>
    </dxf>
  </rfmt>
  <rfmt sheetId="1" sqref="X219">
    <dxf>
      <fill>
        <patternFill>
          <bgColor rgb="FF92D050"/>
        </patternFill>
      </fill>
    </dxf>
  </rfmt>
  <rfmt sheetId="1" sqref="X220">
    <dxf>
      <fill>
        <patternFill>
          <bgColor rgb="FF92D050"/>
        </patternFill>
      </fill>
    </dxf>
  </rfmt>
  <rfmt sheetId="1" sqref="Z220">
    <dxf>
      <fill>
        <patternFill>
          <bgColor rgb="FF92D050"/>
        </patternFill>
      </fill>
    </dxf>
  </rfmt>
  <rfmt sheetId="1" sqref="X221">
    <dxf>
      <fill>
        <patternFill>
          <bgColor rgb="FF92D050"/>
        </patternFill>
      </fill>
    </dxf>
  </rfmt>
  <rfmt sheetId="1" sqref="X222">
    <dxf>
      <fill>
        <patternFill>
          <bgColor rgb="FF92D050"/>
        </patternFill>
      </fill>
    </dxf>
  </rfmt>
  <rfmt sheetId="1" sqref="X223">
    <dxf>
      <fill>
        <patternFill>
          <bgColor rgb="FF92D050"/>
        </patternFill>
      </fill>
    </dxf>
  </rfmt>
  <rfmt sheetId="1" sqref="X224">
    <dxf>
      <fill>
        <patternFill>
          <bgColor rgb="FF92D050"/>
        </patternFill>
      </fill>
    </dxf>
  </rfmt>
  <rfmt sheetId="1" sqref="X225">
    <dxf>
      <fill>
        <patternFill>
          <bgColor rgb="FF92D050"/>
        </patternFill>
      </fill>
    </dxf>
  </rfmt>
  <rfmt sheetId="1" sqref="X226">
    <dxf>
      <fill>
        <patternFill>
          <bgColor rgb="FF92D050"/>
        </patternFill>
      </fill>
    </dxf>
  </rfmt>
  <rfmt sheetId="1" sqref="X227">
    <dxf>
      <fill>
        <patternFill>
          <bgColor rgb="FF92D050"/>
        </patternFill>
      </fill>
    </dxf>
  </rfmt>
  <rfmt sheetId="1" sqref="X228">
    <dxf>
      <fill>
        <patternFill>
          <bgColor rgb="FF92D050"/>
        </patternFill>
      </fill>
    </dxf>
  </rfmt>
  <rfmt sheetId="1" sqref="X229">
    <dxf>
      <fill>
        <patternFill>
          <bgColor rgb="FF92D050"/>
        </patternFill>
      </fill>
    </dxf>
  </rfmt>
  <rfmt sheetId="1" sqref="X230">
    <dxf>
      <fill>
        <patternFill>
          <bgColor rgb="FF92D050"/>
        </patternFill>
      </fill>
    </dxf>
  </rfmt>
  <rfmt sheetId="1" sqref="X231">
    <dxf>
      <fill>
        <patternFill>
          <bgColor rgb="FF92D050"/>
        </patternFill>
      </fill>
    </dxf>
  </rfmt>
  <rfmt sheetId="1" sqref="X232">
    <dxf>
      <fill>
        <patternFill>
          <bgColor rgb="FF92D050"/>
        </patternFill>
      </fill>
    </dxf>
  </rfmt>
  <rfmt sheetId="1" sqref="X233">
    <dxf>
      <fill>
        <patternFill>
          <bgColor rgb="FF92D050"/>
        </patternFill>
      </fill>
    </dxf>
  </rfmt>
  <rcv guid="{E85BF117-0083-467C-8C72-37B7C5E28411}" action="delete"/>
  <rdn rId="0" localSheetId="1" customView="1" name="Z_E85BF117_0083_467C_8C72_37B7C5E28411_.wvu.FilterData" hidden="1" oldHidden="1">
    <formula>'План мероприятий'!$A$5:$AD$393</formula>
    <oldFormula>'План мероприятий'!$A$5:$AD$391</oldFormula>
  </rdn>
  <rcv guid="{E85BF117-0083-467C-8C72-37B7C5E2841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L364" start="0" length="2147483647">
    <dxf>
      <font>
        <color auto="1"/>
      </font>
    </dxf>
  </rfmt>
  <rfmt sheetId="1" sqref="L364" start="0" length="2147483647">
    <dxf>
      <font>
        <b/>
      </font>
    </dxf>
  </rfmt>
  <rfmt sheetId="1" sqref="L365" start="0" length="2147483647">
    <dxf>
      <font>
        <color auto="1"/>
      </font>
    </dxf>
  </rfmt>
  <rfmt sheetId="1" sqref="L365" start="0" length="2147483647">
    <dxf>
      <font>
        <b/>
      </font>
    </dxf>
  </rfmt>
  <rcc rId="68" sId="1">
    <oc r="M365">
      <v>48.600720000000003</v>
    </oc>
    <nc r="M365">
      <v>48.579096139999997</v>
    </nc>
  </rcc>
  <rfmt sheetId="1" sqref="M365" start="0" length="2147483647">
    <dxf>
      <font>
        <color auto="1"/>
      </font>
    </dxf>
  </rfmt>
  <rfmt sheetId="1" sqref="M365" start="0" length="2147483647">
    <dxf>
      <font>
        <b/>
      </font>
    </dxf>
  </rfmt>
  <rfmt sheetId="1" sqref="L363:M364" start="0" length="2147483647">
    <dxf>
      <font>
        <b/>
      </font>
    </dxf>
  </rfmt>
  <rfmt sheetId="1" sqref="L363:M364" start="0" length="2147483647">
    <dxf>
      <font>
        <color auto="1"/>
      </font>
    </dxf>
  </rfmt>
  <rfmt sheetId="1" sqref="N363:N365" start="0" length="2147483647">
    <dxf>
      <font>
        <color auto="1"/>
      </font>
    </dxf>
  </rfmt>
  <rfmt sheetId="1" sqref="N363:N365" start="0" length="2147483647">
    <dxf>
      <font>
        <b/>
      </font>
    </dxf>
  </rfmt>
  <rfmt sheetId="1" sqref="K363:K365" start="0" length="2147483647">
    <dxf>
      <font>
        <color auto="1"/>
      </font>
    </dxf>
  </rfmt>
  <rfmt sheetId="1" sqref="K363:K365" start="0" length="2147483647">
    <dxf>
      <font>
        <b/>
      </font>
    </dxf>
  </rfmt>
  <rfmt sheetId="1" sqref="L386:L392" start="0" length="2147483647">
    <dxf>
      <font>
        <color auto="1"/>
      </font>
    </dxf>
  </rfmt>
  <rfmt sheetId="1" sqref="L386:L392" start="0" length="2147483647">
    <dxf>
      <font>
        <b/>
      </font>
    </dxf>
  </rfmt>
  <rcc rId="69" sId="1">
    <oc r="M390">
      <v>48.600720000000003</v>
    </oc>
    <nc r="M390">
      <v>48.579096139999997</v>
    </nc>
  </rcc>
  <rcc rId="70" sId="1">
    <oc r="M392">
      <v>0.75649999999999995</v>
    </oc>
    <nc r="M392">
      <v>0.75650360999999999</v>
    </nc>
  </rcc>
  <rcc rId="71" sId="1">
    <oc r="M388">
      <v>1.9501500000000001</v>
    </oc>
    <nc r="M388">
      <v>1.9501493190000001</v>
    </nc>
  </rcc>
  <rcc rId="72" sId="1">
    <oc r="M387">
      <v>3549.9743699999999</v>
    </oc>
    <nc r="M387">
      <v>3549.9743739999999</v>
    </nc>
  </rcc>
  <rcc rId="73" sId="1">
    <oc r="L388">
      <v>0.36094999999999999</v>
    </oc>
    <nc r="L388">
      <v>0.36095306999999999</v>
    </nc>
  </rcc>
  <rfmt sheetId="1" sqref="M386:M392" start="0" length="2147483647">
    <dxf>
      <font>
        <color auto="1"/>
      </font>
    </dxf>
  </rfmt>
  <rfmt sheetId="1" sqref="M386:M392" start="0" length="2147483647">
    <dxf>
      <font>
        <b/>
      </font>
    </dxf>
  </rfmt>
  <rcc rId="74" sId="1">
    <oc r="N391">
      <v>9.2773500000000002</v>
    </oc>
    <nc r="N391">
      <v>9.2773471199999999</v>
    </nc>
  </rcc>
  <rcc rId="75" sId="1">
    <oc r="N387">
      <v>3034.5060699999999</v>
    </oc>
    <nc r="N387">
      <v>3033.8927749999998</v>
    </nc>
  </rcc>
  <rcc rId="76" sId="1">
    <oc r="N390">
      <v>50.665930000000003</v>
    </oc>
    <nc r="N390">
      <v>50.665926579999997</v>
    </nc>
  </rcc>
  <rfmt sheetId="1" sqref="N386:N392" start="0" length="2147483647">
    <dxf>
      <font>
        <color auto="1"/>
      </font>
    </dxf>
  </rfmt>
  <rfmt sheetId="1" sqref="N386:N392" start="0" length="2147483647">
    <dxf>
      <font>
        <b/>
      </font>
    </dxf>
  </rfmt>
  <rcc rId="77" sId="1">
    <oc r="O386">
      <f>O387+O388+O389+O390+O391+O392</f>
    </oc>
    <nc r="O386">
      <f>O387+O388+O389+O390+O391+O392</f>
    </nc>
  </rcc>
  <rfmt sheetId="1" sqref="O386:O391" start="0" length="2147483647">
    <dxf>
      <font>
        <color auto="1"/>
      </font>
    </dxf>
  </rfmt>
  <rfmt sheetId="1" sqref="O386:O391" start="0" length="2147483647">
    <dxf>
      <font>
        <b/>
      </font>
    </dxf>
  </rfmt>
  <rfmt sheetId="1" sqref="O390">
    <dxf>
      <fill>
        <patternFill>
          <bgColor theme="4" tint="0.39997558519241921"/>
        </patternFill>
      </fill>
    </dxf>
  </rfmt>
  <rfmt sheetId="1" sqref="O365">
    <dxf>
      <fill>
        <patternFill>
          <bgColor theme="4" tint="0.39997558519241921"/>
        </patternFill>
      </fill>
    </dxf>
  </rfmt>
  <rcc rId="78" sId="1">
    <oc r="K386">
      <f>L386+M386+N386+O386</f>
    </oc>
    <nc r="K386">
      <f>L386+M386+N386+O386</f>
    </nc>
  </rcc>
  <rfmt sheetId="1" sqref="K386:K392" start="0" length="2147483647">
    <dxf>
      <font>
        <color auto="1"/>
      </font>
    </dxf>
  </rfmt>
  <rfmt sheetId="1" sqref="K386:K392" start="0" length="2147483647">
    <dxf>
      <font>
        <b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>
    <oc r="K364">
      <v>157.40432999999999</v>
    </oc>
    <nc r="K364">
      <f>L364+M364+N364+O364</f>
    </nc>
  </rcc>
  <rcc rId="80" sId="1">
    <oc r="L365">
      <f>L390</f>
    </oc>
    <nc r="L365">
      <v>18.3927324</v>
    </nc>
  </rcc>
  <rcc rId="81" sId="1">
    <oc r="N365">
      <v>50.665925999999999</v>
    </oc>
    <nc r="N365">
      <v>50.665926579999997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2" sId="1" ref="A365:XFD365" action="insertRow"/>
  <rrc rId="83" sId="1" ref="A365:XFD365" action="insertRow"/>
  <rm rId="84" sheetId="1" source="K367:O367" destination="K365:O365" sourceSheetId="1">
    <undo index="0" exp="area" dr="N364:N367" r="N363" sId="1"/>
    <undo index="0" exp="area" dr="M364:M367" r="M363" sId="1"/>
    <undo index="0" exp="area" dr="L364:L367" r="L363" sId="1"/>
    <undo index="0" exp="area" dr="O364:O367" r="O363" sId="1"/>
    <undo index="0" exp="area" dr="K364:K367" r="K363" sId="1"/>
    <rfmt sheetId="1" sqref="K365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65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65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365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365" start="0" length="0">
      <dxf>
        <font>
          <sz val="8"/>
          <color rgb="FFFF0000"/>
          <name val="Times New Roman"/>
          <scheme val="none"/>
        </font>
        <fill>
          <patternFill patternType="solid">
            <bgColor rgb="FFFFFF00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85" sheetId="1" source="I367" destination="I365" sourceSheetId="1">
    <rfmt sheetId="1" sqref="I365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86" sId="1" odxf="1" dxf="1">
    <nc r="I366" t="inlineStr">
      <is>
        <t>иные средства -кап вложения</t>
      </is>
    </nc>
    <odxf>
      <fill>
        <patternFill patternType="none">
          <bgColor indexed="65"/>
        </patternFill>
      </fill>
    </odxf>
    <ndxf>
      <fill>
        <patternFill patternType="solid">
          <bgColor theme="0" tint="-4.9989318521683403E-2"/>
        </patternFill>
      </fill>
    </ndxf>
  </rcc>
  <rcc rId="87" sId="1" odxf="1" dxf="1">
    <nc r="I367" t="inlineStr">
      <is>
        <t>иные средства -текущие затраты</t>
      </is>
    </nc>
    <odxf>
      <font>
        <sz val="10"/>
        <color auto="1"/>
        <name val="Arial Cyr"/>
        <scheme val="none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fill>
        <patternFill patternType="solid">
          <bgColor theme="0" tint="-4.9989318521683403E-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1">
    <nc r="O366">
      <v>35.570929999999997</v>
    </nc>
  </rcc>
  <rcc rId="89" sId="1">
    <nc r="O367">
      <v>0</v>
    </nc>
  </rcc>
  <rcc rId="90" sId="1">
    <nc r="K366">
      <f>L366+M366+N366+O366</f>
    </nc>
  </rcc>
  <rcc rId="91" sId="1" odxf="1" dxf="1">
    <nc r="K367">
      <f>L367+M367+N367+O367</f>
    </nc>
    <odxf>
      <font>
        <b val="0"/>
        <sz val="10"/>
        <color auto="1"/>
        <name val="Arial Cyr"/>
        <scheme val="none"/>
      </font>
      <alignment horizontal="general" vertical="bottom" wrapText="0" readingOrder="0"/>
    </odxf>
    <ndxf>
      <font>
        <b/>
        <sz val="8"/>
        <color auto="1"/>
        <name val="Times New Roman"/>
        <scheme val="none"/>
      </font>
      <alignment horizontal="center" vertical="top" wrapText="1" readingOrder="0"/>
    </ndxf>
  </rcc>
  <rcc rId="92" sId="1">
    <nc r="M366">
      <v>0</v>
    </nc>
  </rcc>
  <rcc rId="93" sId="1">
    <nc r="N366">
      <v>9.2773471199999999</v>
    </nc>
  </rcc>
  <rfmt sheetId="1" sqref="L367" start="0" length="0">
    <dxf>
      <font>
        <b/>
        <sz val="8"/>
        <color auto="1"/>
        <name val="Times New Roman"/>
        <scheme val="none"/>
      </font>
      <alignment horizontal="center" vertical="top" wrapText="1" readingOrder="0"/>
    </dxf>
  </rfmt>
  <rcc rId="94" sId="1" odxf="1" dxf="1">
    <nc r="M367">
      <v>0.75650360999999999</v>
    </nc>
    <ndxf>
      <font>
        <b/>
        <sz val="8"/>
        <color auto="1"/>
        <name val="Times New Roman"/>
        <scheme val="none"/>
      </font>
      <alignment horizontal="center" vertical="top" wrapText="1" readingOrder="0"/>
    </ndxf>
  </rcc>
  <rcc rId="95" sId="1" odxf="1" dxf="1">
    <nc r="N367">
      <v>0</v>
    </nc>
    <ndxf>
      <font>
        <b/>
        <sz val="8"/>
        <color auto="1"/>
        <name val="Times New Roman"/>
        <scheme val="none"/>
      </font>
      <alignment horizontal="center" vertical="top" wrapText="1" readingOrder="0"/>
    </ndxf>
  </rcc>
  <rfmt sheetId="1" sqref="O366">
    <dxf>
      <fill>
        <patternFill patternType="none">
          <bgColor auto="1"/>
        </patternFill>
      </fill>
    </dxf>
  </rfmt>
  <rfmt sheetId="1" sqref="O366" start="0" length="2147483647">
    <dxf>
      <font>
        <b/>
      </font>
    </dxf>
  </rfmt>
  <rfmt sheetId="1" sqref="O366" start="0" length="2147483647">
    <dxf>
      <font>
        <color auto="1"/>
      </font>
    </dxf>
  </rfmt>
  <rcc rId="96" sId="1">
    <oc r="K363">
      <f>SUM(K364:K366)</f>
    </oc>
    <nc r="K363">
      <f>SUM(K364:K367)</f>
    </nc>
  </rcc>
  <rrc rId="97" sId="1" ref="A366:XFD366" action="deleteRow">
    <undo index="0" exp="area" dr="O364:O366" r="O363" sId="1"/>
    <undo index="0" exp="area" dr="N364:N366" r="N363" sId="1"/>
    <undo index="0" exp="area" dr="M364:M366" r="M363" sId="1"/>
    <undo index="0" exp="area" dr="L364:L366" r="L363" sId="1"/>
    <rfmt sheetId="1" xfDxf="1" sqref="A366:XFD366" start="0" length="0"/>
    <rfmt sheetId="1" sqref="A366" start="0" length="0">
      <dxf>
        <font>
          <sz val="8"/>
          <color auto="1"/>
          <name val="Times New Roman"/>
          <scheme val="none"/>
        </font>
        <fill>
          <patternFill patternType="solid">
            <bgColor theme="4" tint="0.59999389629810485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6" start="0" length="0">
      <dxf>
        <font>
          <sz val="8"/>
          <color auto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6" start="0" length="0">
      <dxf>
        <font>
          <sz val="8"/>
          <color auto="1"/>
          <name val="Times New Roman"/>
          <scheme val="none"/>
        </font>
        <numFmt numFmtId="167" formatCode="0.00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6" start="0" length="0">
      <dxf>
        <font>
          <sz val="8"/>
          <color auto="1"/>
          <name val="Times New Roman"/>
          <scheme val="none"/>
        </font>
        <numFmt numFmtId="166" formatCode="#,##0.00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66" t="inlineStr">
        <is>
          <t>иные средства -кап вложения</t>
        </is>
      </nc>
      <ndxf>
        <font>
          <sz val="8"/>
          <color auto="1"/>
          <name val="Times New Roman"/>
          <scheme val="none"/>
        </font>
        <fill>
          <patternFill patternType="solid">
            <bgColor theme="0" tint="-4.9989318521683403E-2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366">
        <f>L366+M366+N366+O366</f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366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66">
        <v>0</v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66">
        <v>9.2773471199999999</v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66">
        <v>35.570929999999997</v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P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98" sId="1" ref="A366:XFD366" action="deleteRow">
    <undo index="0" exp="area" dr="U364:U366" r="U363" sId="1"/>
    <undo index="0" exp="area" dr="T364:T366" r="T363" sId="1"/>
    <undo index="0" exp="area" dr="S364:S366" r="S363" sId="1"/>
    <undo index="0" exp="area" dr="R364:R366" r="R363" sId="1"/>
    <undo index="0" exp="area" dr="Q364:Q366" r="Q363" sId="1"/>
    <undo index="0" exp="area" dr="P364:P366" r="P363" sId="1"/>
    <undo index="0" exp="area" dr="K364:K366" r="K363" sId="1"/>
    <undo index="2" exp="ref" dr="U366" r="U246" sId="1"/>
    <undo index="2" exp="ref" dr="T366" r="T246" sId="1"/>
    <undo index="2" exp="ref" dr="S366" r="S246" sId="1"/>
    <undo index="2" exp="ref" dr="R366" r="R246" sId="1"/>
    <undo index="2" exp="ref" dr="Q366" r="Q246" sId="1"/>
    <undo index="2" exp="ref" dr="P366" r="P246" sId="1"/>
    <rfmt sheetId="1" xfDxf="1" sqref="A366:XFD366" start="0" length="0"/>
    <rfmt sheetId="1" sqref="A366" start="0" length="0">
      <dxf>
        <font>
          <sz val="8"/>
          <color auto="1"/>
          <name val="Times New Roman"/>
          <scheme val="none"/>
        </font>
        <fill>
          <patternFill patternType="solid">
            <bgColor theme="4" tint="0.59999389629810485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66" start="0" length="0">
      <dxf>
        <font>
          <sz val="8"/>
          <color auto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6" start="0" length="0">
      <dxf>
        <font>
          <sz val="8"/>
          <color auto="1"/>
          <name val="Times New Roman"/>
          <scheme val="none"/>
        </font>
        <numFmt numFmtId="167" formatCode="0.00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6" start="0" length="0">
      <dxf>
        <font>
          <sz val="8"/>
          <color auto="1"/>
          <name val="Times New Roman"/>
          <scheme val="none"/>
        </font>
        <numFmt numFmtId="166" formatCode="#,##0.00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66" t="inlineStr">
        <is>
          <t>иные средства -текущие затраты</t>
        </is>
      </nc>
      <ndxf>
        <font>
          <sz val="8"/>
          <color auto="1"/>
          <name val="Times New Roman"/>
          <scheme val="none"/>
        </font>
        <fill>
          <patternFill patternType="solid">
            <bgColor theme="0" tint="-4.9989318521683403E-2"/>
          </patternFill>
        </fill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66" start="0" length="0">
      <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366">
        <f>L366+M366+N366+O366</f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366" start="0" length="0">
      <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M366">
        <v>0.75650360999999999</v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66">
        <v>0</v>
      </nc>
      <ndxf>
        <font>
          <b/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66">
        <v>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66">
        <v>0</v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66" t="inlineStr">
        <is>
          <t>x</t>
        </is>
      </nc>
      <ndxf>
        <font>
          <sz val="8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9" sId="1">
    <oc r="N386">
      <f>N387+N388+N389+N390+N391+N392</f>
    </oc>
    <nc r="N386">
      <f>N387+N388+N389+N390+N391+N392</f>
    </nc>
  </rcc>
  <rfmt sheetId="1" sqref="O363:O365">
    <dxf>
      <fill>
        <patternFill patternType="none">
          <bgColor auto="1"/>
        </patternFill>
      </fill>
    </dxf>
  </rfmt>
  <rfmt sheetId="1" sqref="O364" start="0" length="2147483647">
    <dxf>
      <font>
        <color auto="1"/>
      </font>
    </dxf>
  </rfmt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86:A391">
    <dxf>
      <fill>
        <patternFill>
          <bgColor theme="3" tint="0.59999389629810485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" sId="1" odxf="1" dxf="1">
    <oc r="P246">
      <f>SUM(P249:P362,P364,#REF!)</f>
    </oc>
    <nc r="P246">
      <f>SUM(P249:P362,P364,P365)</f>
    </nc>
    <ndxf/>
  </rcc>
  <rcc rId="103" sId="1">
    <oc r="P363">
      <f>SUM(P364:P365)</f>
    </oc>
    <nc r="P363">
      <v>2.9581497699999999</v>
    </nc>
  </rcc>
  <rcc rId="104" sId="1" odxf="1" dxf="1">
    <oc r="Q246">
      <f>SUM(Q249:Q362,Q364,#REF!)</f>
    </oc>
    <nc r="Q246">
      <f>SUM(Q249:Q362,Q364,Q365)</f>
    </nc>
    <odxf/>
    <ndxf/>
  </rcc>
  <rcc rId="105" sId="1" odxf="1" dxf="1">
    <oc r="R246">
      <f>SUM(R249:R362,R364,#REF!)</f>
    </oc>
    <nc r="R246">
      <f>SUM(R249:R362,R364,R365)</f>
    </nc>
    <odxf/>
    <ndxf/>
  </rcc>
  <rcc rId="106" sId="1" odxf="1" dxf="1">
    <oc r="S246">
      <f>SUM(S249:S362,S364,#REF!)</f>
    </oc>
    <nc r="S246">
      <f>SUM(S249:S362,S364,S365)</f>
    </nc>
    <odxf/>
    <ndxf/>
  </rcc>
  <rcc rId="107" sId="1" odxf="1" dxf="1">
    <oc r="T246">
      <f>SUM(T249:T362,T364,#REF!)</f>
    </oc>
    <nc r="T246">
      <f>SUM(T249:T362,T364,T365)</f>
    </nc>
    <odxf/>
    <ndxf/>
  </rcc>
  <rcc rId="108" sId="1" odxf="1" dxf="1">
    <oc r="U246">
      <f>SUM(U249:U362,U364,#REF!)</f>
    </oc>
    <nc r="U246">
      <f>SUM(U249:U362,U364,U365)</f>
    </nc>
    <odxf/>
    <ndxf/>
  </rcc>
  <rcc rId="109" sId="1">
    <oc r="AC337">
      <f>AA337</f>
    </oc>
    <nc r="AC337">
      <v>2026</v>
    </nc>
  </rcc>
  <rcc rId="110" sId="1">
    <oc r="AC338">
      <f>AA338</f>
    </oc>
    <nc r="AC338">
      <v>2026</v>
    </nc>
  </rcc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" sId="1">
    <oc r="V250" t="inlineStr">
      <is>
        <t>Строительно монтажные работы выполнены в рамках догаза на сумму 25,79986</t>
      </is>
    </oc>
    <nc r="V250" t="inlineStr">
      <is>
        <t>Строительно- монтажные работы выполнены в рамках догаза на сумму 25,79986</t>
      </is>
    </nc>
  </rcc>
  <rcc rId="114" sId="1">
    <nc r="P365">
      <v>2.9581497699999999</v>
    </nc>
  </rcc>
  <rcc rId="115" sId="1" odxf="1" dxf="1">
    <oc r="P363">
      <v>2.9581497699999999</v>
    </oc>
    <nc r="P363">
      <f>SUM(P364:P365)</f>
    </nc>
    <odxf>
      <font>
        <sz val="8"/>
        <name val="Times New Roman"/>
        <scheme val="none"/>
      </font>
    </odxf>
    <ndxf>
      <font>
        <sz val="8"/>
        <color rgb="FFFF0000"/>
        <name val="Times New Roman"/>
        <scheme val="none"/>
      </font>
    </ndxf>
  </rcc>
  <rfmt sheetId="1" sqref="P363" start="0" length="2147483647">
    <dxf>
      <font>
        <color auto="1"/>
      </font>
    </dxf>
  </rfmt>
  <rcc rId="116" sId="1">
    <oc r="P387">
      <v>0</v>
    </oc>
    <nc r="P387">
      <v>104.0289214</v>
    </nc>
  </rcc>
  <rcc rId="117" sId="1" odxf="1" dxf="1">
    <oc r="P390">
      <v>0</v>
    </oc>
    <nc r="P390">
      <v>2.9581497699999999</v>
    </nc>
    <odxf>
      <fill>
        <patternFill patternType="solid">
          <bgColor theme="0" tint="-4.9989318521683403E-2"/>
        </patternFill>
      </fill>
    </odxf>
    <ndxf>
      <fill>
        <patternFill patternType="none">
          <bgColor indexed="65"/>
        </patternFill>
      </fill>
    </ndxf>
  </rcc>
  <rcc rId="118" sId="1">
    <oc r="P391">
      <v>0</v>
    </oc>
    <nc r="P391">
      <v>181.84704289999999</v>
    </nc>
  </rcc>
  <rcc rId="119" sId="1" odxf="1" dxf="1">
    <oc r="P386">
      <v>0</v>
    </oc>
    <nc r="P386">
      <f>P387+P388+P389+P390+P391+P392</f>
    </nc>
    <odxf>
      <font>
        <b val="0"/>
        <sz val="8"/>
        <name val="Times New Roman"/>
        <scheme val="none"/>
      </font>
    </odxf>
    <ndxf>
      <font>
        <b/>
        <sz val="8"/>
        <name val="Times New Roman"/>
        <scheme val="none"/>
      </font>
    </ndxf>
  </rcc>
  <rcv guid="{C5E84CBD-13D1-4E8C-8B2D-5DBC42061D72}" action="delete"/>
  <rdn rId="0" localSheetId="1" customView="1" name="Z_C5E84CBD_13D1_4E8C_8B2D_5DBC42061D72_.wvu.PrintTitles" hidden="1" oldHidden="1">
    <formula>'План мероприятий'!$3:$5</formula>
    <oldFormula>'План мероприятий'!$3:$5</oldFormula>
  </rdn>
  <rdn rId="0" localSheetId="1" customView="1" name="Z_C5E84CBD_13D1_4E8C_8B2D_5DBC42061D72_.wvu.FilterData" hidden="1" oldHidden="1">
    <formula>'План мероприятий'!$A$25:$AD$393</formula>
    <oldFormula>'План мероприятий'!$A$25:$AD$393</oldFormula>
  </rdn>
  <rcv guid="{C5E84CBD-13D1-4E8C-8B2D-5DBC42061D72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F9A2285-8E17-4A7A-ADD4-F9636634C68A}" name="Пользователь Windows" id="-772015863" dateTime="2025-07-01T15:22:49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97"/>
  <sheetViews>
    <sheetView tabSelected="1" zoomScale="80" zoomScaleNormal="80" zoomScaleSheetLayoutView="85" workbookViewId="0">
      <pane ySplit="5" topLeftCell="A6" activePane="bottomLeft" state="frozen"/>
      <selection pane="bottomLeft" activeCell="O386" sqref="O386"/>
    </sheetView>
  </sheetViews>
  <sheetFormatPr defaultRowHeight="12.75" x14ac:dyDescent="0.2"/>
  <cols>
    <col min="2" max="2" width="11" customWidth="1"/>
    <col min="3" max="3" width="21" customWidth="1"/>
    <col min="4" max="8" width="9.140625" customWidth="1"/>
    <col min="9" max="9" width="17.85546875" customWidth="1"/>
    <col min="10" max="10" width="10" customWidth="1"/>
    <col min="11" max="11" width="15.42578125" customWidth="1"/>
    <col min="12" max="12" width="16.42578125" customWidth="1"/>
    <col min="13" max="14" width="18" customWidth="1"/>
    <col min="15" max="15" width="16.42578125" customWidth="1"/>
    <col min="16" max="16" width="12.5703125" customWidth="1"/>
    <col min="17" max="17" width="11.7109375" customWidth="1"/>
    <col min="18" max="21" width="9.140625" customWidth="1"/>
    <col min="22" max="22" width="12.5703125" style="34" customWidth="1"/>
    <col min="23" max="23" width="9.28515625" customWidth="1"/>
    <col min="24" max="27" width="9.28515625" bestFit="1" customWidth="1"/>
    <col min="28" max="28" width="10.5703125" bestFit="1" customWidth="1"/>
    <col min="29" max="29" width="9.28515625" bestFit="1" customWidth="1"/>
  </cols>
  <sheetData>
    <row r="1" spans="1:30" ht="18.75" customHeight="1" x14ac:dyDescent="0.3">
      <c r="A1" s="66" t="s">
        <v>614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</row>
    <row r="3" spans="1:30" ht="11.25" customHeight="1" x14ac:dyDescent="0.2">
      <c r="A3" s="68" t="s">
        <v>150</v>
      </c>
      <c r="B3" s="68" t="s">
        <v>0</v>
      </c>
      <c r="C3" s="68" t="s">
        <v>1</v>
      </c>
      <c r="D3" s="68" t="s">
        <v>2</v>
      </c>
      <c r="E3" s="68"/>
      <c r="F3" s="68"/>
      <c r="G3" s="68"/>
      <c r="H3" s="68"/>
      <c r="I3" s="68" t="s">
        <v>3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 t="s">
        <v>151</v>
      </c>
      <c r="W3" s="68" t="s">
        <v>7</v>
      </c>
      <c r="X3" s="68"/>
      <c r="Y3" s="68"/>
      <c r="Z3" s="68" t="s">
        <v>9</v>
      </c>
      <c r="AA3" s="68"/>
      <c r="AB3" s="68"/>
      <c r="AC3" s="68" t="s">
        <v>157</v>
      </c>
      <c r="AD3" s="68" t="s">
        <v>158</v>
      </c>
    </row>
    <row r="4" spans="1:30" ht="63" x14ac:dyDescent="0.2">
      <c r="A4" s="68"/>
      <c r="B4" s="68"/>
      <c r="C4" s="68"/>
      <c r="D4" s="68" t="s">
        <v>152</v>
      </c>
      <c r="E4" s="68" t="s">
        <v>153</v>
      </c>
      <c r="F4" s="68" t="s">
        <v>8</v>
      </c>
      <c r="G4" s="68"/>
      <c r="H4" s="3" t="s">
        <v>10</v>
      </c>
      <c r="I4" s="68" t="s">
        <v>159</v>
      </c>
      <c r="J4" s="3" t="s">
        <v>491</v>
      </c>
      <c r="K4" s="3" t="s">
        <v>19</v>
      </c>
      <c r="L4" s="3" t="s">
        <v>20</v>
      </c>
      <c r="M4" s="3" t="s">
        <v>21</v>
      </c>
      <c r="N4" s="3" t="s">
        <v>22</v>
      </c>
      <c r="O4" s="15" t="s">
        <v>23</v>
      </c>
      <c r="P4" s="3" t="s">
        <v>24</v>
      </c>
      <c r="Q4" s="3" t="s">
        <v>25</v>
      </c>
      <c r="R4" s="3" t="s">
        <v>26</v>
      </c>
      <c r="S4" s="3" t="s">
        <v>27</v>
      </c>
      <c r="T4" s="3" t="s">
        <v>28</v>
      </c>
      <c r="U4" s="3" t="s">
        <v>29</v>
      </c>
      <c r="V4" s="68"/>
      <c r="W4" s="68" t="s">
        <v>154</v>
      </c>
      <c r="X4" s="68" t="s">
        <v>155</v>
      </c>
      <c r="Y4" s="68" t="s">
        <v>156</v>
      </c>
      <c r="Z4" s="68" t="s">
        <v>154</v>
      </c>
      <c r="AA4" s="68" t="s">
        <v>155</v>
      </c>
      <c r="AB4" s="68" t="s">
        <v>156</v>
      </c>
      <c r="AC4" s="68"/>
      <c r="AD4" s="68"/>
    </row>
    <row r="5" spans="1:30" ht="52.5" x14ac:dyDescent="0.2">
      <c r="A5" s="68"/>
      <c r="B5" s="68"/>
      <c r="C5" s="68"/>
      <c r="D5" s="68"/>
      <c r="E5" s="68"/>
      <c r="F5" s="3" t="s">
        <v>4</v>
      </c>
      <c r="G5" s="3" t="s">
        <v>5</v>
      </c>
      <c r="H5" s="3" t="s">
        <v>6</v>
      </c>
      <c r="I5" s="68"/>
      <c r="J5" s="3" t="s">
        <v>30</v>
      </c>
      <c r="K5" s="3" t="s">
        <v>30</v>
      </c>
      <c r="L5" s="3" t="s">
        <v>30</v>
      </c>
      <c r="M5" s="3" t="s">
        <v>30</v>
      </c>
      <c r="N5" s="3" t="s">
        <v>30</v>
      </c>
      <c r="O5" s="3" t="s">
        <v>30</v>
      </c>
      <c r="P5" s="3" t="s">
        <v>30</v>
      </c>
      <c r="Q5" s="3" t="s">
        <v>30</v>
      </c>
      <c r="R5" s="3" t="s">
        <v>30</v>
      </c>
      <c r="S5" s="3" t="s">
        <v>30</v>
      </c>
      <c r="T5" s="3" t="s">
        <v>30</v>
      </c>
      <c r="U5" s="3" t="s">
        <v>30</v>
      </c>
      <c r="V5" s="68"/>
      <c r="W5" s="68"/>
      <c r="X5" s="68"/>
      <c r="Y5" s="68"/>
      <c r="Z5" s="68"/>
      <c r="AA5" s="68"/>
      <c r="AB5" s="68"/>
      <c r="AC5" s="68"/>
      <c r="AD5" s="68"/>
    </row>
    <row r="6" spans="1:30" x14ac:dyDescent="0.2">
      <c r="A6" s="55"/>
      <c r="B6" s="55"/>
      <c r="C6" s="59" t="s">
        <v>160</v>
      </c>
      <c r="D6" s="55" t="s">
        <v>31</v>
      </c>
      <c r="E6" s="55" t="s">
        <v>31</v>
      </c>
      <c r="F6" s="55" t="s">
        <v>31</v>
      </c>
      <c r="G6" s="55" t="s">
        <v>31</v>
      </c>
      <c r="H6" s="55" t="s">
        <v>31</v>
      </c>
      <c r="I6" s="2" t="s">
        <v>161</v>
      </c>
      <c r="J6" s="2" t="s">
        <v>31</v>
      </c>
      <c r="K6" s="2">
        <f t="shared" ref="K6:U6" si="0">SUM(K7:K14)</f>
        <v>27555.561351141791</v>
      </c>
      <c r="L6" s="2">
        <f t="shared" si="0"/>
        <v>1463.0473949899999</v>
      </c>
      <c r="M6" s="2">
        <f t="shared" si="0"/>
        <v>4991.0401960590007</v>
      </c>
      <c r="N6" s="2">
        <f t="shared" si="0"/>
        <v>6318.2392574900014</v>
      </c>
      <c r="O6" s="2">
        <f t="shared" si="0"/>
        <v>2510.6336014827834</v>
      </c>
      <c r="P6" s="2">
        <f t="shared" si="0"/>
        <v>2412.3363864800003</v>
      </c>
      <c r="Q6" s="2">
        <f t="shared" si="0"/>
        <v>4145.1792657000005</v>
      </c>
      <c r="R6" s="2">
        <f t="shared" si="0"/>
        <v>5822.07232011</v>
      </c>
      <c r="S6" s="2">
        <f t="shared" si="0"/>
        <v>0</v>
      </c>
      <c r="T6" s="2">
        <f t="shared" si="0"/>
        <v>0</v>
      </c>
      <c r="U6" s="2">
        <f t="shared" si="0"/>
        <v>0</v>
      </c>
      <c r="V6" s="55" t="s">
        <v>31</v>
      </c>
      <c r="W6" s="55" t="s">
        <v>31</v>
      </c>
      <c r="X6" s="55" t="s">
        <v>31</v>
      </c>
      <c r="Y6" s="55" t="s">
        <v>31</v>
      </c>
      <c r="Z6" s="55" t="s">
        <v>31</v>
      </c>
      <c r="AA6" s="55" t="s">
        <v>31</v>
      </c>
      <c r="AB6" s="55" t="s">
        <v>31</v>
      </c>
      <c r="AC6" s="55" t="s">
        <v>31</v>
      </c>
      <c r="AD6" s="55" t="s">
        <v>31</v>
      </c>
    </row>
    <row r="7" spans="1:30" x14ac:dyDescent="0.2">
      <c r="A7" s="55"/>
      <c r="B7" s="55"/>
      <c r="C7" s="59"/>
      <c r="D7" s="55"/>
      <c r="E7" s="55"/>
      <c r="F7" s="55"/>
      <c r="G7" s="55"/>
      <c r="H7" s="55"/>
      <c r="I7" s="2" t="s">
        <v>166</v>
      </c>
      <c r="J7" s="2" t="s">
        <v>31</v>
      </c>
      <c r="K7" s="2">
        <f t="shared" ref="K7:U7" si="1">SUM(K16,K240,K367,K378)</f>
        <v>0</v>
      </c>
      <c r="L7" s="2">
        <f t="shared" si="1"/>
        <v>0</v>
      </c>
      <c r="M7" s="2">
        <f t="shared" si="1"/>
        <v>0</v>
      </c>
      <c r="N7" s="2">
        <f t="shared" si="1"/>
        <v>0</v>
      </c>
      <c r="O7" s="2">
        <f t="shared" si="1"/>
        <v>0</v>
      </c>
      <c r="P7" s="2">
        <f t="shared" si="1"/>
        <v>0</v>
      </c>
      <c r="Q7" s="2">
        <f t="shared" si="1"/>
        <v>0</v>
      </c>
      <c r="R7" s="2">
        <f t="shared" si="1"/>
        <v>0</v>
      </c>
      <c r="S7" s="2">
        <f t="shared" si="1"/>
        <v>0</v>
      </c>
      <c r="T7" s="2">
        <f t="shared" si="1"/>
        <v>0</v>
      </c>
      <c r="U7" s="2">
        <f t="shared" si="1"/>
        <v>0</v>
      </c>
      <c r="V7" s="55"/>
      <c r="W7" s="55"/>
      <c r="X7" s="55"/>
      <c r="Y7" s="55"/>
      <c r="Z7" s="55"/>
      <c r="AA7" s="55"/>
      <c r="AB7" s="55"/>
      <c r="AC7" s="55"/>
      <c r="AD7" s="55"/>
    </row>
    <row r="8" spans="1:30" x14ac:dyDescent="0.2">
      <c r="A8" s="55"/>
      <c r="B8" s="55"/>
      <c r="C8" s="59"/>
      <c r="D8" s="55"/>
      <c r="E8" s="55"/>
      <c r="F8" s="55"/>
      <c r="G8" s="55"/>
      <c r="H8" s="55"/>
      <c r="I8" s="2" t="s">
        <v>167</v>
      </c>
      <c r="J8" s="2" t="s">
        <v>31</v>
      </c>
      <c r="K8" s="2">
        <f t="shared" ref="K8:U8" si="2">SUM(K17,K241,K368,K379)</f>
        <v>0</v>
      </c>
      <c r="L8" s="2">
        <f t="shared" si="2"/>
        <v>0</v>
      </c>
      <c r="M8" s="2">
        <f t="shared" si="2"/>
        <v>0</v>
      </c>
      <c r="N8" s="2">
        <f t="shared" si="2"/>
        <v>0</v>
      </c>
      <c r="O8" s="2">
        <f t="shared" si="2"/>
        <v>0</v>
      </c>
      <c r="P8" s="2">
        <f t="shared" si="2"/>
        <v>0</v>
      </c>
      <c r="Q8" s="2">
        <f t="shared" si="2"/>
        <v>0</v>
      </c>
      <c r="R8" s="2">
        <f t="shared" si="2"/>
        <v>0</v>
      </c>
      <c r="S8" s="2">
        <f t="shared" si="2"/>
        <v>0</v>
      </c>
      <c r="T8" s="2">
        <f t="shared" si="2"/>
        <v>0</v>
      </c>
      <c r="U8" s="2">
        <f t="shared" si="2"/>
        <v>0</v>
      </c>
      <c r="V8" s="55"/>
      <c r="W8" s="55"/>
      <c r="X8" s="55"/>
      <c r="Y8" s="55"/>
      <c r="Z8" s="55"/>
      <c r="AA8" s="55"/>
      <c r="AB8" s="55"/>
      <c r="AC8" s="55"/>
      <c r="AD8" s="55"/>
    </row>
    <row r="9" spans="1:30" x14ac:dyDescent="0.2">
      <c r="A9" s="55"/>
      <c r="B9" s="55"/>
      <c r="C9" s="59"/>
      <c r="D9" s="55"/>
      <c r="E9" s="55"/>
      <c r="F9" s="55"/>
      <c r="G9" s="55"/>
      <c r="H9" s="55"/>
      <c r="I9" s="2" t="s">
        <v>168</v>
      </c>
      <c r="J9" s="2" t="s">
        <v>31</v>
      </c>
      <c r="K9" s="2">
        <f t="shared" ref="K9:U9" si="3">SUM(K18,K242,K369,K380)</f>
        <v>0</v>
      </c>
      <c r="L9" s="2">
        <f t="shared" si="3"/>
        <v>0</v>
      </c>
      <c r="M9" s="2">
        <f t="shared" si="3"/>
        <v>0</v>
      </c>
      <c r="N9" s="2">
        <f t="shared" si="3"/>
        <v>0</v>
      </c>
      <c r="O9" s="2">
        <f t="shared" si="3"/>
        <v>0</v>
      </c>
      <c r="P9" s="2">
        <f t="shared" si="3"/>
        <v>0</v>
      </c>
      <c r="Q9" s="2">
        <f t="shared" si="3"/>
        <v>0</v>
      </c>
      <c r="R9" s="2">
        <f t="shared" si="3"/>
        <v>0</v>
      </c>
      <c r="S9" s="2">
        <f t="shared" si="3"/>
        <v>0</v>
      </c>
      <c r="T9" s="2">
        <f t="shared" si="3"/>
        <v>0</v>
      </c>
      <c r="U9" s="2">
        <f t="shared" si="3"/>
        <v>0</v>
      </c>
      <c r="V9" s="55"/>
      <c r="W9" s="55"/>
      <c r="X9" s="55"/>
      <c r="Y9" s="55"/>
      <c r="Z9" s="55"/>
      <c r="AA9" s="55"/>
      <c r="AB9" s="55"/>
      <c r="AC9" s="55"/>
      <c r="AD9" s="55"/>
    </row>
    <row r="10" spans="1:30" x14ac:dyDescent="0.2">
      <c r="A10" s="55"/>
      <c r="B10" s="55"/>
      <c r="C10" s="59"/>
      <c r="D10" s="55"/>
      <c r="E10" s="55"/>
      <c r="F10" s="55"/>
      <c r="G10" s="55"/>
      <c r="H10" s="55"/>
      <c r="I10" s="2" t="s">
        <v>165</v>
      </c>
      <c r="J10" s="2" t="s">
        <v>31</v>
      </c>
      <c r="K10" s="2">
        <f t="shared" ref="K10:U10" si="4">SUM(K19,K243,K370,K381)</f>
        <v>0</v>
      </c>
      <c r="L10" s="2">
        <f t="shared" si="4"/>
        <v>0</v>
      </c>
      <c r="M10" s="2">
        <f t="shared" si="4"/>
        <v>0</v>
      </c>
      <c r="N10" s="2">
        <f t="shared" si="4"/>
        <v>0</v>
      </c>
      <c r="O10" s="2">
        <f t="shared" si="4"/>
        <v>0</v>
      </c>
      <c r="P10" s="2">
        <f t="shared" si="4"/>
        <v>0</v>
      </c>
      <c r="Q10" s="2">
        <f t="shared" si="4"/>
        <v>0</v>
      </c>
      <c r="R10" s="2">
        <f t="shared" si="4"/>
        <v>0</v>
      </c>
      <c r="S10" s="2">
        <f t="shared" si="4"/>
        <v>0</v>
      </c>
      <c r="T10" s="2">
        <f t="shared" si="4"/>
        <v>0</v>
      </c>
      <c r="U10" s="2">
        <f t="shared" si="4"/>
        <v>0</v>
      </c>
      <c r="V10" s="55"/>
      <c r="W10" s="55"/>
      <c r="X10" s="55"/>
      <c r="Y10" s="55"/>
      <c r="Z10" s="55"/>
      <c r="AA10" s="55"/>
      <c r="AB10" s="55"/>
      <c r="AC10" s="55"/>
      <c r="AD10" s="55"/>
    </row>
    <row r="11" spans="1:30" x14ac:dyDescent="0.2">
      <c r="A11" s="55"/>
      <c r="B11" s="55"/>
      <c r="C11" s="59"/>
      <c r="D11" s="55"/>
      <c r="E11" s="55"/>
      <c r="F11" s="55"/>
      <c r="G11" s="55"/>
      <c r="H11" s="55"/>
      <c r="I11" s="2" t="s">
        <v>164</v>
      </c>
      <c r="J11" s="2" t="s">
        <v>31</v>
      </c>
      <c r="K11" s="2">
        <f t="shared" ref="K11:U11" si="5">SUM(K20,K244,K371,K382,K387,K388)</f>
        <v>26133.469228529008</v>
      </c>
      <c r="L11" s="2">
        <f t="shared" si="5"/>
        <v>1235.9567892600001</v>
      </c>
      <c r="M11" s="2">
        <f t="shared" si="5"/>
        <v>4680.8738539890001</v>
      </c>
      <c r="N11" s="2">
        <f t="shared" si="5"/>
        <v>6099.451922350001</v>
      </c>
      <c r="O11" s="2">
        <f t="shared" si="5"/>
        <v>2112.3722614799999</v>
      </c>
      <c r="P11" s="2">
        <f t="shared" si="5"/>
        <v>2141.5917370400002</v>
      </c>
      <c r="Q11" s="2">
        <f t="shared" si="5"/>
        <v>4145.1792657000005</v>
      </c>
      <c r="R11" s="2">
        <f t="shared" si="5"/>
        <v>5822.07232011</v>
      </c>
      <c r="S11" s="2">
        <f t="shared" si="5"/>
        <v>0</v>
      </c>
      <c r="T11" s="2">
        <f t="shared" si="5"/>
        <v>0</v>
      </c>
      <c r="U11" s="2">
        <f t="shared" si="5"/>
        <v>0</v>
      </c>
      <c r="V11" s="55"/>
      <c r="W11" s="55"/>
      <c r="X11" s="55"/>
      <c r="Y11" s="55"/>
      <c r="Z11" s="55"/>
      <c r="AA11" s="55"/>
      <c r="AB11" s="55"/>
      <c r="AC11" s="55"/>
      <c r="AD11" s="55"/>
    </row>
    <row r="12" spans="1:30" x14ac:dyDescent="0.2">
      <c r="A12" s="55"/>
      <c r="B12" s="55"/>
      <c r="C12" s="59"/>
      <c r="D12" s="55"/>
      <c r="E12" s="55"/>
      <c r="F12" s="55"/>
      <c r="G12" s="55"/>
      <c r="H12" s="55"/>
      <c r="I12" s="2" t="s">
        <v>163</v>
      </c>
      <c r="J12" s="2" t="s">
        <v>31</v>
      </c>
      <c r="K12" s="2">
        <f t="shared" ref="K12:U12" si="6">SUM(K21,K245,K372,K383)</f>
        <v>0</v>
      </c>
      <c r="L12" s="2">
        <f t="shared" si="6"/>
        <v>0</v>
      </c>
      <c r="M12" s="2">
        <f t="shared" si="6"/>
        <v>0</v>
      </c>
      <c r="N12" s="2">
        <f t="shared" si="6"/>
        <v>0</v>
      </c>
      <c r="O12" s="2">
        <f t="shared" si="6"/>
        <v>0</v>
      </c>
      <c r="P12" s="2">
        <f t="shared" si="6"/>
        <v>0</v>
      </c>
      <c r="Q12" s="2">
        <f t="shared" si="6"/>
        <v>0</v>
      </c>
      <c r="R12" s="2">
        <f t="shared" si="6"/>
        <v>0</v>
      </c>
      <c r="S12" s="2">
        <f t="shared" si="6"/>
        <v>0</v>
      </c>
      <c r="T12" s="2">
        <f t="shared" si="6"/>
        <v>0</v>
      </c>
      <c r="U12" s="2">
        <f t="shared" si="6"/>
        <v>0</v>
      </c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x14ac:dyDescent="0.2">
      <c r="A13" s="55"/>
      <c r="B13" s="55"/>
      <c r="C13" s="59"/>
      <c r="D13" s="55"/>
      <c r="E13" s="55"/>
      <c r="F13" s="55"/>
      <c r="G13" s="55"/>
      <c r="H13" s="55"/>
      <c r="I13" s="2" t="s">
        <v>144</v>
      </c>
      <c r="J13" s="2" t="s">
        <v>31</v>
      </c>
      <c r="K13" s="2">
        <f t="shared" ref="K13:U13" si="7">SUM(K22,K246,K373,K384)</f>
        <v>1366.0241626127834</v>
      </c>
      <c r="L13" s="2">
        <f t="shared" si="7"/>
        <v>212.17650573</v>
      </c>
      <c r="M13" s="2">
        <f t="shared" si="7"/>
        <v>269.01248206999998</v>
      </c>
      <c r="N13" s="2">
        <f t="shared" si="7"/>
        <v>218.78733514000001</v>
      </c>
      <c r="O13" s="2">
        <f t="shared" si="7"/>
        <v>398.26134000278364</v>
      </c>
      <c r="P13" s="2">
        <f t="shared" si="7"/>
        <v>270.74464943999999</v>
      </c>
      <c r="Q13" s="2">
        <f t="shared" si="7"/>
        <v>0</v>
      </c>
      <c r="R13" s="2">
        <f t="shared" si="7"/>
        <v>0</v>
      </c>
      <c r="S13" s="2">
        <f t="shared" si="7"/>
        <v>0</v>
      </c>
      <c r="T13" s="2">
        <f t="shared" si="7"/>
        <v>0</v>
      </c>
      <c r="U13" s="2">
        <f t="shared" si="7"/>
        <v>0</v>
      </c>
      <c r="V13" s="55"/>
      <c r="W13" s="55"/>
      <c r="X13" s="55"/>
      <c r="Y13" s="55"/>
      <c r="Z13" s="55"/>
      <c r="AA13" s="55"/>
      <c r="AB13" s="55"/>
      <c r="AC13" s="55"/>
      <c r="AD13" s="55"/>
    </row>
    <row r="14" spans="1:30" x14ac:dyDescent="0.2">
      <c r="A14" s="55"/>
      <c r="B14" s="55"/>
      <c r="C14" s="59"/>
      <c r="D14" s="55"/>
      <c r="E14" s="55"/>
      <c r="F14" s="55"/>
      <c r="G14" s="55"/>
      <c r="H14" s="55"/>
      <c r="I14" s="2" t="s">
        <v>162</v>
      </c>
      <c r="J14" s="2" t="s">
        <v>31</v>
      </c>
      <c r="K14" s="2">
        <f t="shared" ref="K14:U14" si="8">SUM(K23,K247,K374,K385)</f>
        <v>56.067959999999999</v>
      </c>
      <c r="L14" s="2">
        <f t="shared" si="8"/>
        <v>14.914099999999999</v>
      </c>
      <c r="M14" s="2">
        <f t="shared" si="8"/>
        <v>41.153860000000002</v>
      </c>
      <c r="N14" s="2">
        <f t="shared" si="8"/>
        <v>0</v>
      </c>
      <c r="O14" s="2">
        <f t="shared" si="8"/>
        <v>0</v>
      </c>
      <c r="P14" s="2">
        <f t="shared" si="8"/>
        <v>0</v>
      </c>
      <c r="Q14" s="2">
        <f t="shared" si="8"/>
        <v>0</v>
      </c>
      <c r="R14" s="2">
        <f t="shared" si="8"/>
        <v>0</v>
      </c>
      <c r="S14" s="2">
        <f t="shared" si="8"/>
        <v>0</v>
      </c>
      <c r="T14" s="2">
        <f t="shared" si="8"/>
        <v>0</v>
      </c>
      <c r="U14" s="2">
        <f t="shared" si="8"/>
        <v>0</v>
      </c>
      <c r="V14" s="55"/>
      <c r="W14" s="55"/>
      <c r="X14" s="55"/>
      <c r="Y14" s="55"/>
      <c r="Z14" s="55"/>
      <c r="AA14" s="55"/>
      <c r="AB14" s="55"/>
      <c r="AC14" s="55"/>
      <c r="AD14" s="55"/>
    </row>
    <row r="15" spans="1:30" x14ac:dyDescent="0.2">
      <c r="A15" s="55" t="s">
        <v>16</v>
      </c>
      <c r="B15" s="55"/>
      <c r="C15" s="59" t="s">
        <v>169</v>
      </c>
      <c r="D15" s="55" t="s">
        <v>31</v>
      </c>
      <c r="E15" s="55" t="s">
        <v>31</v>
      </c>
      <c r="F15" s="55" t="s">
        <v>31</v>
      </c>
      <c r="G15" s="55" t="s">
        <v>31</v>
      </c>
      <c r="H15" s="55" t="s">
        <v>31</v>
      </c>
      <c r="I15" s="2" t="s">
        <v>161</v>
      </c>
      <c r="J15" s="2" t="s">
        <v>31</v>
      </c>
      <c r="K15" s="2">
        <f t="shared" ref="K15:U15" si="9">SUM(K16:K23)</f>
        <v>17516.859269450004</v>
      </c>
      <c r="L15" s="2">
        <f t="shared" si="9"/>
        <v>161.47464019</v>
      </c>
      <c r="M15" s="2">
        <f t="shared" si="9"/>
        <v>1128.9493306700001</v>
      </c>
      <c r="N15" s="2">
        <f t="shared" si="9"/>
        <v>3065.5591473500012</v>
      </c>
      <c r="O15" s="2">
        <f t="shared" si="9"/>
        <v>1156.06174979</v>
      </c>
      <c r="P15" s="2">
        <f t="shared" si="9"/>
        <v>2037.5628156400001</v>
      </c>
      <c r="Q15" s="2">
        <f t="shared" si="9"/>
        <v>4145.1792657000005</v>
      </c>
      <c r="R15" s="2">
        <f t="shared" si="9"/>
        <v>5822.07232011</v>
      </c>
      <c r="S15" s="2">
        <f t="shared" si="9"/>
        <v>0</v>
      </c>
      <c r="T15" s="2">
        <f t="shared" si="9"/>
        <v>0</v>
      </c>
      <c r="U15" s="2">
        <f t="shared" si="9"/>
        <v>0</v>
      </c>
      <c r="V15" s="55" t="s">
        <v>31</v>
      </c>
      <c r="W15" s="55" t="s">
        <v>31</v>
      </c>
      <c r="X15" s="55" t="s">
        <v>31</v>
      </c>
      <c r="Y15" s="55" t="s">
        <v>31</v>
      </c>
      <c r="Z15" s="55" t="s">
        <v>31</v>
      </c>
      <c r="AA15" s="55" t="s">
        <v>31</v>
      </c>
      <c r="AB15" s="55" t="s">
        <v>31</v>
      </c>
      <c r="AC15" s="55" t="s">
        <v>31</v>
      </c>
      <c r="AD15" s="55" t="s">
        <v>31</v>
      </c>
    </row>
    <row r="16" spans="1:30" x14ac:dyDescent="0.2">
      <c r="A16" s="55"/>
      <c r="B16" s="55"/>
      <c r="C16" s="59"/>
      <c r="D16" s="55"/>
      <c r="E16" s="55"/>
      <c r="F16" s="55"/>
      <c r="G16" s="55"/>
      <c r="H16" s="55"/>
      <c r="I16" s="2" t="s">
        <v>166</v>
      </c>
      <c r="J16" s="2" t="s">
        <v>31</v>
      </c>
      <c r="K16" s="2">
        <f>SUMIF($I$25:$I$233,I16,$K$25:$K$233)+SUMIF($I$235:$I$238,I16,$K$235:$K$238)</f>
        <v>0</v>
      </c>
      <c r="L16" s="2">
        <f t="shared" ref="L16:U16" si="10">SUMIF($I$25:$I$233,$I$16,L25:L233)+SUMIF($I$235:$I$238,$I$16,L235:L238)</f>
        <v>0</v>
      </c>
      <c r="M16" s="2">
        <f t="shared" si="10"/>
        <v>0</v>
      </c>
      <c r="N16" s="2">
        <f t="shared" si="10"/>
        <v>0</v>
      </c>
      <c r="O16" s="2">
        <f t="shared" si="10"/>
        <v>0</v>
      </c>
      <c r="P16" s="2">
        <f t="shared" si="10"/>
        <v>0</v>
      </c>
      <c r="Q16" s="2">
        <f t="shared" si="10"/>
        <v>0</v>
      </c>
      <c r="R16" s="2">
        <f t="shared" si="10"/>
        <v>0</v>
      </c>
      <c r="S16" s="2">
        <f t="shared" si="10"/>
        <v>0</v>
      </c>
      <c r="T16" s="2">
        <f t="shared" si="10"/>
        <v>0</v>
      </c>
      <c r="U16" s="2">
        <f t="shared" si="10"/>
        <v>0</v>
      </c>
      <c r="V16" s="55"/>
      <c r="W16" s="55"/>
      <c r="X16" s="55"/>
      <c r="Y16" s="55"/>
      <c r="Z16" s="55"/>
      <c r="AA16" s="55"/>
      <c r="AB16" s="55"/>
      <c r="AC16" s="55"/>
      <c r="AD16" s="55"/>
    </row>
    <row r="17" spans="1:30" x14ac:dyDescent="0.2">
      <c r="A17" s="55"/>
      <c r="B17" s="55"/>
      <c r="C17" s="59"/>
      <c r="D17" s="55"/>
      <c r="E17" s="55"/>
      <c r="F17" s="55"/>
      <c r="G17" s="55"/>
      <c r="H17" s="55"/>
      <c r="I17" s="2" t="s">
        <v>167</v>
      </c>
      <c r="J17" s="2" t="s">
        <v>31</v>
      </c>
      <c r="K17" s="2">
        <f>SUMIF($I$25:$I$233,$I$17,K25:K233)+SUMIF($I$235:$I$238,$I$17,K235:K238)</f>
        <v>0</v>
      </c>
      <c r="L17" s="2">
        <f t="shared" ref="L17:U17" si="11">SUMIF($I$25:$I$233,$I$17,L25:L233)+SUMIF($I$235:$I$238,$I$17,L235:L238)</f>
        <v>0</v>
      </c>
      <c r="M17" s="2">
        <f t="shared" si="11"/>
        <v>0</v>
      </c>
      <c r="N17" s="2">
        <f t="shared" si="11"/>
        <v>0</v>
      </c>
      <c r="O17" s="2">
        <f t="shared" si="11"/>
        <v>0</v>
      </c>
      <c r="P17" s="2">
        <f t="shared" si="11"/>
        <v>0</v>
      </c>
      <c r="Q17" s="2">
        <f t="shared" si="11"/>
        <v>0</v>
      </c>
      <c r="R17" s="2">
        <f t="shared" si="11"/>
        <v>0</v>
      </c>
      <c r="S17" s="2">
        <f t="shared" si="11"/>
        <v>0</v>
      </c>
      <c r="T17" s="2">
        <f t="shared" si="11"/>
        <v>0</v>
      </c>
      <c r="U17" s="2">
        <f t="shared" si="11"/>
        <v>0</v>
      </c>
      <c r="V17" s="55"/>
      <c r="W17" s="55"/>
      <c r="X17" s="55"/>
      <c r="Y17" s="55"/>
      <c r="Z17" s="55"/>
      <c r="AA17" s="55"/>
      <c r="AB17" s="55"/>
      <c r="AC17" s="55"/>
      <c r="AD17" s="55"/>
    </row>
    <row r="18" spans="1:30" x14ac:dyDescent="0.2">
      <c r="A18" s="55"/>
      <c r="B18" s="55"/>
      <c r="C18" s="59"/>
      <c r="D18" s="55"/>
      <c r="E18" s="55"/>
      <c r="F18" s="55"/>
      <c r="G18" s="55"/>
      <c r="H18" s="55"/>
      <c r="I18" s="2" t="s">
        <v>168</v>
      </c>
      <c r="J18" s="2" t="s">
        <v>31</v>
      </c>
      <c r="K18" s="2">
        <f>SUMIF($I$25:$I$233,$I$18,K25:K233)+SUMIF($I$235:$I$238,$I$18,K235:K238)</f>
        <v>0</v>
      </c>
      <c r="L18" s="2">
        <f t="shared" ref="L18:U18" si="12">SUMIF($I$25:$I$233,$I$18,L25:L233)+SUMIF($I$235:$I$238,$I$18,L235:L238)</f>
        <v>0</v>
      </c>
      <c r="M18" s="2">
        <f t="shared" si="12"/>
        <v>0</v>
      </c>
      <c r="N18" s="2">
        <f t="shared" si="12"/>
        <v>0</v>
      </c>
      <c r="O18" s="2">
        <f t="shared" si="12"/>
        <v>0</v>
      </c>
      <c r="P18" s="2">
        <f t="shared" si="12"/>
        <v>0</v>
      </c>
      <c r="Q18" s="2">
        <f t="shared" si="12"/>
        <v>0</v>
      </c>
      <c r="R18" s="2">
        <f t="shared" si="12"/>
        <v>0</v>
      </c>
      <c r="S18" s="2">
        <f t="shared" si="12"/>
        <v>0</v>
      </c>
      <c r="T18" s="2">
        <f t="shared" si="12"/>
        <v>0</v>
      </c>
      <c r="U18" s="2">
        <f t="shared" si="12"/>
        <v>0</v>
      </c>
      <c r="V18" s="55"/>
      <c r="W18" s="55"/>
      <c r="X18" s="55"/>
      <c r="Y18" s="55"/>
      <c r="Z18" s="55"/>
      <c r="AA18" s="55"/>
      <c r="AB18" s="55"/>
      <c r="AC18" s="55"/>
      <c r="AD18" s="55"/>
    </row>
    <row r="19" spans="1:30" x14ac:dyDescent="0.2">
      <c r="A19" s="55"/>
      <c r="B19" s="55"/>
      <c r="C19" s="59"/>
      <c r="D19" s="55"/>
      <c r="E19" s="55"/>
      <c r="F19" s="55"/>
      <c r="G19" s="55"/>
      <c r="H19" s="55"/>
      <c r="I19" s="2" t="s">
        <v>165</v>
      </c>
      <c r="J19" s="2" t="s">
        <v>31</v>
      </c>
      <c r="K19" s="2">
        <f>SUMIF($I$25:$I$233,$I$19,K25:K233)+SUMIF($I$235:$I$238,$I$19,K235:K238)</f>
        <v>0</v>
      </c>
      <c r="L19" s="2">
        <f t="shared" ref="L19:U19" si="13">SUMIF($I$25:$I$233,$I$19,L25:L233)+SUMIF($I$235:$I$238,$I$19,L235:L238)</f>
        <v>0</v>
      </c>
      <c r="M19" s="2">
        <f t="shared" si="13"/>
        <v>0</v>
      </c>
      <c r="N19" s="2">
        <f t="shared" si="13"/>
        <v>0</v>
      </c>
      <c r="O19" s="2">
        <f t="shared" si="13"/>
        <v>0</v>
      </c>
      <c r="P19" s="2">
        <f t="shared" si="13"/>
        <v>0</v>
      </c>
      <c r="Q19" s="2">
        <f t="shared" si="13"/>
        <v>0</v>
      </c>
      <c r="R19" s="2">
        <f t="shared" si="13"/>
        <v>0</v>
      </c>
      <c r="S19" s="2">
        <f t="shared" si="13"/>
        <v>0</v>
      </c>
      <c r="T19" s="2">
        <f t="shared" si="13"/>
        <v>0</v>
      </c>
      <c r="U19" s="2">
        <f t="shared" si="13"/>
        <v>0</v>
      </c>
      <c r="V19" s="55"/>
      <c r="W19" s="55"/>
      <c r="X19" s="55"/>
      <c r="Y19" s="55"/>
      <c r="Z19" s="55"/>
      <c r="AA19" s="55"/>
      <c r="AB19" s="55"/>
      <c r="AC19" s="55"/>
      <c r="AD19" s="55"/>
    </row>
    <row r="20" spans="1:30" x14ac:dyDescent="0.2">
      <c r="A20" s="55"/>
      <c r="B20" s="55"/>
      <c r="C20" s="59"/>
      <c r="D20" s="55"/>
      <c r="E20" s="55"/>
      <c r="F20" s="55"/>
      <c r="G20" s="55"/>
      <c r="H20" s="55"/>
      <c r="I20" s="2" t="s">
        <v>164</v>
      </c>
      <c r="J20" s="2" t="s">
        <v>31</v>
      </c>
      <c r="K20" s="2">
        <f>SUMIF($I$25:$I$233,$I$20,K25:K233)+SUMIF($I$235:$I$238,$I$20,K235:K238)</f>
        <v>17516.859269450004</v>
      </c>
      <c r="L20" s="2">
        <f t="shared" ref="L20:U20" si="14">SUMIF($I$25:$I$233,$I$20,L25:L233)+SUMIF($I$235:$I$238,$I$20,L235:L238)</f>
        <v>161.47464019</v>
      </c>
      <c r="M20" s="2">
        <f t="shared" si="14"/>
        <v>1128.9493306700001</v>
      </c>
      <c r="N20" s="2">
        <f t="shared" si="14"/>
        <v>3065.5591473500012</v>
      </c>
      <c r="O20" s="2">
        <f t="shared" si="14"/>
        <v>1156.06174979</v>
      </c>
      <c r="P20" s="2">
        <f t="shared" si="14"/>
        <v>2037.5628156400001</v>
      </c>
      <c r="Q20" s="2">
        <f t="shared" si="14"/>
        <v>4145.1792657000005</v>
      </c>
      <c r="R20" s="2">
        <f t="shared" si="14"/>
        <v>5822.07232011</v>
      </c>
      <c r="S20" s="2">
        <f t="shared" si="14"/>
        <v>0</v>
      </c>
      <c r="T20" s="2">
        <f t="shared" si="14"/>
        <v>0</v>
      </c>
      <c r="U20" s="2">
        <f t="shared" si="14"/>
        <v>0</v>
      </c>
      <c r="V20" s="55"/>
      <c r="W20" s="55"/>
      <c r="X20" s="55"/>
      <c r="Y20" s="55"/>
      <c r="Z20" s="55"/>
      <c r="AA20" s="55"/>
      <c r="AB20" s="55"/>
      <c r="AC20" s="55"/>
      <c r="AD20" s="55"/>
    </row>
    <row r="21" spans="1:30" x14ac:dyDescent="0.2">
      <c r="A21" s="55"/>
      <c r="B21" s="55"/>
      <c r="C21" s="59"/>
      <c r="D21" s="55"/>
      <c r="E21" s="55"/>
      <c r="F21" s="55"/>
      <c r="G21" s="55"/>
      <c r="H21" s="55"/>
      <c r="I21" s="2" t="s">
        <v>163</v>
      </c>
      <c r="J21" s="2" t="s">
        <v>31</v>
      </c>
      <c r="K21" s="2">
        <f>SUMIF($I$25:$I$233,$I$21,K25:K233)+SUMIF($I$235:$I$238,$I$21,K235:K238)</f>
        <v>0</v>
      </c>
      <c r="L21" s="2">
        <f t="shared" ref="L21:U21" si="15">SUMIF($I$25:$I$233,$I$21,L25:L233)+SUMIF($I$235:$I$238,$I$21,L235:L238)</f>
        <v>0</v>
      </c>
      <c r="M21" s="2">
        <f t="shared" si="15"/>
        <v>0</v>
      </c>
      <c r="N21" s="2">
        <f t="shared" si="15"/>
        <v>0</v>
      </c>
      <c r="O21" s="2">
        <f t="shared" si="15"/>
        <v>0</v>
      </c>
      <c r="P21" s="2">
        <f t="shared" si="15"/>
        <v>0</v>
      </c>
      <c r="Q21" s="2">
        <f t="shared" si="15"/>
        <v>0</v>
      </c>
      <c r="R21" s="2">
        <f t="shared" si="15"/>
        <v>0</v>
      </c>
      <c r="S21" s="2">
        <f t="shared" si="15"/>
        <v>0</v>
      </c>
      <c r="T21" s="2">
        <f t="shared" si="15"/>
        <v>0</v>
      </c>
      <c r="U21" s="2">
        <f t="shared" si="15"/>
        <v>0</v>
      </c>
      <c r="V21" s="55"/>
      <c r="W21" s="55"/>
      <c r="X21" s="55"/>
      <c r="Y21" s="55"/>
      <c r="Z21" s="55"/>
      <c r="AA21" s="55"/>
      <c r="AB21" s="55"/>
      <c r="AC21" s="55"/>
      <c r="AD21" s="55"/>
    </row>
    <row r="22" spans="1:30" x14ac:dyDescent="0.2">
      <c r="A22" s="55"/>
      <c r="B22" s="55"/>
      <c r="C22" s="59"/>
      <c r="D22" s="55"/>
      <c r="E22" s="55"/>
      <c r="F22" s="55"/>
      <c r="G22" s="55"/>
      <c r="H22" s="55"/>
      <c r="I22" s="2" t="s">
        <v>144</v>
      </c>
      <c r="J22" s="2" t="s">
        <v>31</v>
      </c>
      <c r="K22" s="2">
        <f>SUMIF($I$25:$I$233,$I$22,K25:K233)+SUMIF($I$235:$I$238,$I$22,K235:K238)</f>
        <v>0</v>
      </c>
      <c r="L22" s="2">
        <f t="shared" ref="L22:U22" si="16">SUMIF($I$25:$I$233,$I$22,L25:L233)+SUMIF($I$235:$I$238,$I$22,L235:L238)</f>
        <v>0</v>
      </c>
      <c r="M22" s="2">
        <f t="shared" si="16"/>
        <v>0</v>
      </c>
      <c r="N22" s="2">
        <f t="shared" si="16"/>
        <v>0</v>
      </c>
      <c r="O22" s="2">
        <f t="shared" si="16"/>
        <v>0</v>
      </c>
      <c r="P22" s="2">
        <f t="shared" si="16"/>
        <v>0</v>
      </c>
      <c r="Q22" s="2">
        <f t="shared" si="16"/>
        <v>0</v>
      </c>
      <c r="R22" s="2">
        <f t="shared" si="16"/>
        <v>0</v>
      </c>
      <c r="S22" s="2">
        <f t="shared" si="16"/>
        <v>0</v>
      </c>
      <c r="T22" s="2">
        <f t="shared" si="16"/>
        <v>0</v>
      </c>
      <c r="U22" s="2">
        <f t="shared" si="16"/>
        <v>0</v>
      </c>
      <c r="V22" s="55"/>
      <c r="W22" s="55"/>
      <c r="X22" s="55"/>
      <c r="Y22" s="55"/>
      <c r="Z22" s="55"/>
      <c r="AA22" s="55"/>
      <c r="AB22" s="55"/>
      <c r="AC22" s="55"/>
      <c r="AD22" s="55"/>
    </row>
    <row r="23" spans="1:30" x14ac:dyDescent="0.2">
      <c r="A23" s="55"/>
      <c r="B23" s="55"/>
      <c r="C23" s="59"/>
      <c r="D23" s="55"/>
      <c r="E23" s="55"/>
      <c r="F23" s="55"/>
      <c r="G23" s="55"/>
      <c r="H23" s="55"/>
      <c r="I23" s="2" t="s">
        <v>162</v>
      </c>
      <c r="J23" s="2" t="s">
        <v>31</v>
      </c>
      <c r="K23" s="2">
        <f>SUMIF($I$25:$I$233,$I$23,K25:K233)+SUMIF($I$235:$I$238,$I$23,K235:K238)</f>
        <v>0</v>
      </c>
      <c r="L23" s="2">
        <f t="shared" ref="L23:U23" si="17">SUMIF($I$25:$I$233,$I$23,L25:L233)+SUMIF($I$235:$I$238,$I$23,L235:L238)</f>
        <v>0</v>
      </c>
      <c r="M23" s="2">
        <f t="shared" si="17"/>
        <v>0</v>
      </c>
      <c r="N23" s="2">
        <f t="shared" si="17"/>
        <v>0</v>
      </c>
      <c r="O23" s="2">
        <f t="shared" si="17"/>
        <v>0</v>
      </c>
      <c r="P23" s="2">
        <f t="shared" si="17"/>
        <v>0</v>
      </c>
      <c r="Q23" s="2">
        <f t="shared" si="17"/>
        <v>0</v>
      </c>
      <c r="R23" s="2">
        <f t="shared" si="17"/>
        <v>0</v>
      </c>
      <c r="S23" s="2">
        <f t="shared" si="17"/>
        <v>0</v>
      </c>
      <c r="T23" s="2">
        <f t="shared" si="17"/>
        <v>0</v>
      </c>
      <c r="U23" s="2">
        <f t="shared" si="17"/>
        <v>0</v>
      </c>
      <c r="V23" s="55"/>
      <c r="W23" s="55"/>
      <c r="X23" s="55"/>
      <c r="Y23" s="55"/>
      <c r="Z23" s="55"/>
      <c r="AA23" s="55"/>
      <c r="AB23" s="55"/>
      <c r="AC23" s="55"/>
      <c r="AD23" s="55"/>
    </row>
    <row r="24" spans="1:30" x14ac:dyDescent="0.2">
      <c r="A24" s="6" t="s">
        <v>16</v>
      </c>
      <c r="B24" s="62" t="s">
        <v>11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 spans="1:30" ht="33.75" x14ac:dyDescent="0.2">
      <c r="A25" s="1" t="s">
        <v>16</v>
      </c>
      <c r="B25" s="1" t="s">
        <v>13</v>
      </c>
      <c r="C25" s="5" t="s">
        <v>464</v>
      </c>
      <c r="D25" s="1" t="s">
        <v>12</v>
      </c>
      <c r="E25" s="11">
        <v>65.2</v>
      </c>
      <c r="F25" s="1" t="s">
        <v>606</v>
      </c>
      <c r="G25" s="12" t="s">
        <v>606</v>
      </c>
      <c r="H25" s="1" t="s">
        <v>12</v>
      </c>
      <c r="I25" s="1" t="s">
        <v>164</v>
      </c>
      <c r="J25" s="1" t="s">
        <v>608</v>
      </c>
      <c r="K25" s="1" t="s">
        <v>608</v>
      </c>
      <c r="L25" s="1" t="s">
        <v>608</v>
      </c>
      <c r="M25" s="1" t="s">
        <v>608</v>
      </c>
      <c r="N25" s="1" t="s">
        <v>608</v>
      </c>
      <c r="O25" s="1" t="s">
        <v>608</v>
      </c>
      <c r="P25" s="1" t="s">
        <v>608</v>
      </c>
      <c r="Q25" s="1" t="s">
        <v>608</v>
      </c>
      <c r="R25" s="1" t="s">
        <v>608</v>
      </c>
      <c r="S25" s="1" t="s">
        <v>608</v>
      </c>
      <c r="T25" s="1" t="s">
        <v>608</v>
      </c>
      <c r="U25" s="1" t="s">
        <v>608</v>
      </c>
      <c r="V25" s="33" t="s">
        <v>479</v>
      </c>
      <c r="W25" s="1">
        <v>2023</v>
      </c>
      <c r="X25" s="1">
        <v>2025</v>
      </c>
      <c r="Y25" s="1" t="s">
        <v>608</v>
      </c>
      <c r="Z25" s="1">
        <v>2026</v>
      </c>
      <c r="AA25" s="1">
        <v>2028</v>
      </c>
      <c r="AB25" s="1" t="s">
        <v>608</v>
      </c>
      <c r="AC25" s="1">
        <v>2029</v>
      </c>
      <c r="AD25" s="1" t="s">
        <v>481</v>
      </c>
    </row>
    <row r="26" spans="1:30" ht="33.75" x14ac:dyDescent="0.2">
      <c r="A26" s="1" t="s">
        <v>16</v>
      </c>
      <c r="B26" s="1" t="s">
        <v>467</v>
      </c>
      <c r="C26" s="5" t="s">
        <v>465</v>
      </c>
      <c r="D26" s="1" t="s">
        <v>12</v>
      </c>
      <c r="E26" s="11">
        <v>0.27</v>
      </c>
      <c r="F26" s="1" t="s">
        <v>606</v>
      </c>
      <c r="G26" s="12" t="s">
        <v>606</v>
      </c>
      <c r="H26" s="1" t="s">
        <v>12</v>
      </c>
      <c r="I26" s="1" t="s">
        <v>164</v>
      </c>
      <c r="J26" s="1" t="s">
        <v>608</v>
      </c>
      <c r="K26" s="1" t="s">
        <v>608</v>
      </c>
      <c r="L26" s="1" t="s">
        <v>608</v>
      </c>
      <c r="M26" s="1" t="s">
        <v>608</v>
      </c>
      <c r="N26" s="1" t="s">
        <v>608</v>
      </c>
      <c r="O26" s="1" t="s">
        <v>608</v>
      </c>
      <c r="P26" s="1" t="s">
        <v>608</v>
      </c>
      <c r="Q26" s="1" t="s">
        <v>608</v>
      </c>
      <c r="R26" s="1" t="s">
        <v>608</v>
      </c>
      <c r="S26" s="1" t="s">
        <v>608</v>
      </c>
      <c r="T26" s="1" t="s">
        <v>608</v>
      </c>
      <c r="U26" s="1" t="s">
        <v>608</v>
      </c>
      <c r="V26" s="33" t="s">
        <v>479</v>
      </c>
      <c r="W26" s="1">
        <v>2023</v>
      </c>
      <c r="X26" s="1">
        <v>2025</v>
      </c>
      <c r="Y26" s="1" t="s">
        <v>608</v>
      </c>
      <c r="Z26" s="1">
        <v>2026</v>
      </c>
      <c r="AA26" s="1">
        <v>2027</v>
      </c>
      <c r="AB26" s="1" t="s">
        <v>608</v>
      </c>
      <c r="AC26" s="1">
        <v>2028</v>
      </c>
      <c r="AD26" s="1" t="s">
        <v>481</v>
      </c>
    </row>
    <row r="27" spans="1:30" ht="33.75" x14ac:dyDescent="0.2">
      <c r="A27" s="1" t="s">
        <v>16</v>
      </c>
      <c r="B27" s="1" t="s">
        <v>468</v>
      </c>
      <c r="C27" s="5" t="s">
        <v>466</v>
      </c>
      <c r="D27" s="1" t="s">
        <v>12</v>
      </c>
      <c r="E27" s="11">
        <v>3.8</v>
      </c>
      <c r="F27" s="1" t="s">
        <v>606</v>
      </c>
      <c r="G27" s="12" t="s">
        <v>606</v>
      </c>
      <c r="H27" s="1" t="s">
        <v>12</v>
      </c>
      <c r="I27" s="1" t="s">
        <v>164</v>
      </c>
      <c r="J27" s="1" t="s">
        <v>608</v>
      </c>
      <c r="K27" s="1" t="s">
        <v>608</v>
      </c>
      <c r="L27" s="1" t="s">
        <v>608</v>
      </c>
      <c r="M27" s="1" t="s">
        <v>608</v>
      </c>
      <c r="N27" s="1" t="s">
        <v>608</v>
      </c>
      <c r="O27" s="1" t="s">
        <v>608</v>
      </c>
      <c r="P27" s="33" t="s">
        <v>608</v>
      </c>
      <c r="Q27" s="1" t="s">
        <v>608</v>
      </c>
      <c r="R27" s="1" t="s">
        <v>608</v>
      </c>
      <c r="S27" s="1" t="s">
        <v>608</v>
      </c>
      <c r="T27" s="1" t="s">
        <v>608</v>
      </c>
      <c r="U27" s="1" t="s">
        <v>608</v>
      </c>
      <c r="V27" s="33" t="s">
        <v>479</v>
      </c>
      <c r="W27" s="1">
        <v>2022</v>
      </c>
      <c r="X27" s="1">
        <v>2024</v>
      </c>
      <c r="Y27" s="1" t="s">
        <v>608</v>
      </c>
      <c r="Z27" s="1">
        <v>2025</v>
      </c>
      <c r="AA27" s="1">
        <v>2026</v>
      </c>
      <c r="AB27" s="1" t="s">
        <v>608</v>
      </c>
      <c r="AC27" s="1">
        <v>2027</v>
      </c>
      <c r="AD27" s="1" t="s">
        <v>481</v>
      </c>
    </row>
    <row r="28" spans="1:30" ht="33.75" x14ac:dyDescent="0.2">
      <c r="A28" s="1" t="s">
        <v>16</v>
      </c>
      <c r="B28" s="1" t="s">
        <v>469</v>
      </c>
      <c r="C28" s="5" t="s">
        <v>470</v>
      </c>
      <c r="D28" s="1" t="s">
        <v>12</v>
      </c>
      <c r="E28" s="11" t="s">
        <v>12</v>
      </c>
      <c r="F28" s="1" t="s">
        <v>606</v>
      </c>
      <c r="G28" s="12" t="s">
        <v>606</v>
      </c>
      <c r="H28" s="1" t="s">
        <v>12</v>
      </c>
      <c r="I28" s="1" t="s">
        <v>164</v>
      </c>
      <c r="J28" s="1" t="s">
        <v>608</v>
      </c>
      <c r="K28" s="1" t="s">
        <v>608</v>
      </c>
      <c r="L28" s="1" t="s">
        <v>608</v>
      </c>
      <c r="M28" s="1" t="s">
        <v>608</v>
      </c>
      <c r="N28" s="1" t="s">
        <v>608</v>
      </c>
      <c r="O28" s="1" t="s">
        <v>608</v>
      </c>
      <c r="P28" s="1" t="s">
        <v>608</v>
      </c>
      <c r="Q28" s="1" t="s">
        <v>608</v>
      </c>
      <c r="R28" s="1" t="s">
        <v>608</v>
      </c>
      <c r="S28" s="1" t="s">
        <v>608</v>
      </c>
      <c r="T28" s="1" t="s">
        <v>608</v>
      </c>
      <c r="U28" s="1" t="s">
        <v>608</v>
      </c>
      <c r="V28" s="33" t="s">
        <v>471</v>
      </c>
      <c r="W28" s="1" t="s">
        <v>606</v>
      </c>
      <c r="X28" s="1" t="s">
        <v>606</v>
      </c>
      <c r="Y28" s="1" t="s">
        <v>608</v>
      </c>
      <c r="Z28" s="1" t="s">
        <v>606</v>
      </c>
      <c r="AA28" s="1" t="s">
        <v>606</v>
      </c>
      <c r="AB28" s="1" t="s">
        <v>608</v>
      </c>
      <c r="AC28" s="1" t="s">
        <v>606</v>
      </c>
      <c r="AD28" s="1" t="s">
        <v>481</v>
      </c>
    </row>
    <row r="29" spans="1:30" ht="56.25" x14ac:dyDescent="0.2">
      <c r="A29" s="1" t="s">
        <v>16</v>
      </c>
      <c r="B29" s="1" t="s">
        <v>14</v>
      </c>
      <c r="C29" s="5" t="s">
        <v>170</v>
      </c>
      <c r="D29" s="1" t="s">
        <v>12</v>
      </c>
      <c r="E29" s="39">
        <v>0.104367</v>
      </c>
      <c r="F29" s="1" t="s">
        <v>606</v>
      </c>
      <c r="G29" s="12">
        <v>13.281028940993506</v>
      </c>
      <c r="H29" s="1" t="s">
        <v>12</v>
      </c>
      <c r="I29" s="1" t="s">
        <v>164</v>
      </c>
      <c r="J29" s="1" t="s">
        <v>608</v>
      </c>
      <c r="K29" s="1" t="s">
        <v>608</v>
      </c>
      <c r="L29" s="1" t="s">
        <v>608</v>
      </c>
      <c r="M29" s="1" t="s">
        <v>608</v>
      </c>
      <c r="N29" s="1" t="s">
        <v>608</v>
      </c>
      <c r="O29" s="1" t="s">
        <v>608</v>
      </c>
      <c r="P29" s="1" t="s">
        <v>608</v>
      </c>
      <c r="Q29" s="1" t="s">
        <v>608</v>
      </c>
      <c r="R29" s="1" t="s">
        <v>608</v>
      </c>
      <c r="S29" s="1" t="s">
        <v>608</v>
      </c>
      <c r="T29" s="1" t="s">
        <v>608</v>
      </c>
      <c r="U29" s="1" t="s">
        <v>608</v>
      </c>
      <c r="V29" s="33" t="s">
        <v>479</v>
      </c>
      <c r="W29" s="1">
        <v>2024</v>
      </c>
      <c r="X29" s="1">
        <v>2025</v>
      </c>
      <c r="Y29" s="1" t="s">
        <v>608</v>
      </c>
      <c r="Z29" s="1">
        <v>2026</v>
      </c>
      <c r="AA29" s="1">
        <v>2027</v>
      </c>
      <c r="AB29" s="1" t="s">
        <v>608</v>
      </c>
      <c r="AC29" s="1">
        <v>2028</v>
      </c>
      <c r="AD29" s="1" t="s">
        <v>481</v>
      </c>
    </row>
    <row r="30" spans="1:30" ht="45" x14ac:dyDescent="0.2">
      <c r="A30" s="1" t="s">
        <v>16</v>
      </c>
      <c r="B30" s="1" t="s">
        <v>261</v>
      </c>
      <c r="C30" s="5" t="s">
        <v>171</v>
      </c>
      <c r="D30" s="1" t="s">
        <v>12</v>
      </c>
      <c r="E30" s="11">
        <v>0.103857</v>
      </c>
      <c r="F30" s="1" t="s">
        <v>606</v>
      </c>
      <c r="G30" s="12">
        <v>105.99244654584233</v>
      </c>
      <c r="H30" s="1" t="s">
        <v>12</v>
      </c>
      <c r="I30" s="1" t="s">
        <v>164</v>
      </c>
      <c r="J30" s="1" t="s">
        <v>608</v>
      </c>
      <c r="K30" s="1" t="s">
        <v>608</v>
      </c>
      <c r="L30" s="1" t="s">
        <v>608</v>
      </c>
      <c r="M30" s="1" t="s">
        <v>608</v>
      </c>
      <c r="N30" s="1" t="s">
        <v>608</v>
      </c>
      <c r="O30" s="1" t="s">
        <v>608</v>
      </c>
      <c r="P30" s="1" t="s">
        <v>608</v>
      </c>
      <c r="Q30" s="1" t="s">
        <v>608</v>
      </c>
      <c r="R30" s="1" t="s">
        <v>608</v>
      </c>
      <c r="S30" s="1" t="s">
        <v>608</v>
      </c>
      <c r="T30" s="1" t="s">
        <v>608</v>
      </c>
      <c r="U30" s="1" t="s">
        <v>608</v>
      </c>
      <c r="V30" s="33" t="s">
        <v>479</v>
      </c>
      <c r="W30" s="1">
        <v>2024</v>
      </c>
      <c r="X30" s="1">
        <v>2025</v>
      </c>
      <c r="Y30" s="1" t="s">
        <v>608</v>
      </c>
      <c r="Z30" s="1">
        <v>2026</v>
      </c>
      <c r="AA30" s="1">
        <v>2027</v>
      </c>
      <c r="AB30" s="1" t="s">
        <v>608</v>
      </c>
      <c r="AC30" s="1">
        <v>2028</v>
      </c>
      <c r="AD30" s="1" t="s">
        <v>481</v>
      </c>
    </row>
    <row r="31" spans="1:30" ht="45" x14ac:dyDescent="0.2">
      <c r="A31" s="1" t="s">
        <v>16</v>
      </c>
      <c r="B31" s="1" t="s">
        <v>262</v>
      </c>
      <c r="C31" s="5" t="s">
        <v>172</v>
      </c>
      <c r="D31" s="1" t="s">
        <v>12</v>
      </c>
      <c r="E31" s="11">
        <v>2.46895</v>
      </c>
      <c r="F31" s="1" t="s">
        <v>606</v>
      </c>
      <c r="G31" s="12">
        <v>18.777611878350367</v>
      </c>
      <c r="H31" s="1" t="s">
        <v>12</v>
      </c>
      <c r="I31" s="1" t="s">
        <v>164</v>
      </c>
      <c r="J31" s="1" t="s">
        <v>608</v>
      </c>
      <c r="K31" s="1" t="s">
        <v>608</v>
      </c>
      <c r="L31" s="1" t="s">
        <v>608</v>
      </c>
      <c r="M31" s="1" t="s">
        <v>608</v>
      </c>
      <c r="N31" s="1" t="s">
        <v>608</v>
      </c>
      <c r="O31" s="1" t="s">
        <v>608</v>
      </c>
      <c r="P31" s="1" t="s">
        <v>608</v>
      </c>
      <c r="Q31" s="1" t="s">
        <v>608</v>
      </c>
      <c r="R31" s="1" t="s">
        <v>608</v>
      </c>
      <c r="S31" s="1" t="s">
        <v>608</v>
      </c>
      <c r="T31" s="1" t="s">
        <v>608</v>
      </c>
      <c r="U31" s="1" t="s">
        <v>608</v>
      </c>
      <c r="V31" s="33" t="s">
        <v>479</v>
      </c>
      <c r="W31" s="1">
        <v>2024</v>
      </c>
      <c r="X31" s="1">
        <v>2025</v>
      </c>
      <c r="Y31" s="1" t="s">
        <v>608</v>
      </c>
      <c r="Z31" s="1">
        <v>2026</v>
      </c>
      <c r="AA31" s="1">
        <v>2027</v>
      </c>
      <c r="AB31" s="1" t="s">
        <v>608</v>
      </c>
      <c r="AC31" s="1">
        <v>2028</v>
      </c>
      <c r="AD31" s="1" t="s">
        <v>481</v>
      </c>
    </row>
    <row r="32" spans="1:30" ht="45" x14ac:dyDescent="0.2">
      <c r="A32" s="1" t="s">
        <v>16</v>
      </c>
      <c r="B32" s="1" t="s">
        <v>263</v>
      </c>
      <c r="C32" s="5" t="s">
        <v>173</v>
      </c>
      <c r="D32" s="1" t="s">
        <v>12</v>
      </c>
      <c r="E32" s="11">
        <v>1.6266499999999999</v>
      </c>
      <c r="F32" s="1" t="s">
        <v>606</v>
      </c>
      <c r="G32" s="12">
        <v>35.94375031490307</v>
      </c>
      <c r="H32" s="1" t="s">
        <v>12</v>
      </c>
      <c r="I32" s="1" t="s">
        <v>164</v>
      </c>
      <c r="J32" s="1" t="s">
        <v>608</v>
      </c>
      <c r="K32" s="1" t="s">
        <v>608</v>
      </c>
      <c r="L32" s="1" t="s">
        <v>608</v>
      </c>
      <c r="M32" s="1" t="s">
        <v>608</v>
      </c>
      <c r="N32" s="1" t="s">
        <v>608</v>
      </c>
      <c r="O32" s="1" t="s">
        <v>608</v>
      </c>
      <c r="P32" s="1" t="s">
        <v>608</v>
      </c>
      <c r="Q32" s="1" t="s">
        <v>608</v>
      </c>
      <c r="R32" s="1" t="s">
        <v>608</v>
      </c>
      <c r="S32" s="1" t="s">
        <v>608</v>
      </c>
      <c r="T32" s="1" t="s">
        <v>608</v>
      </c>
      <c r="U32" s="1" t="s">
        <v>608</v>
      </c>
      <c r="V32" s="33" t="s">
        <v>479</v>
      </c>
      <c r="W32" s="1">
        <v>2024</v>
      </c>
      <c r="X32" s="1">
        <v>2025</v>
      </c>
      <c r="Y32" s="1" t="s">
        <v>608</v>
      </c>
      <c r="Z32" s="1">
        <v>2026</v>
      </c>
      <c r="AA32" s="1">
        <v>2027</v>
      </c>
      <c r="AB32" s="1" t="s">
        <v>608</v>
      </c>
      <c r="AC32" s="1">
        <v>2028</v>
      </c>
      <c r="AD32" s="1" t="s">
        <v>481</v>
      </c>
    </row>
    <row r="33" spans="1:30" ht="45" x14ac:dyDescent="0.2">
      <c r="A33" s="1" t="s">
        <v>16</v>
      </c>
      <c r="B33" s="1" t="s">
        <v>264</v>
      </c>
      <c r="C33" s="5" t="s">
        <v>174</v>
      </c>
      <c r="D33" s="1" t="s">
        <v>12</v>
      </c>
      <c r="E33" s="11">
        <v>0.91531300000000004</v>
      </c>
      <c r="F33" s="1" t="s">
        <v>606</v>
      </c>
      <c r="G33" s="12">
        <v>63.8358719683266</v>
      </c>
      <c r="H33" s="1" t="s">
        <v>12</v>
      </c>
      <c r="I33" s="1" t="s">
        <v>164</v>
      </c>
      <c r="J33" s="1" t="s">
        <v>608</v>
      </c>
      <c r="K33" s="1" t="s">
        <v>608</v>
      </c>
      <c r="L33" s="1" t="s">
        <v>608</v>
      </c>
      <c r="M33" s="1" t="s">
        <v>608</v>
      </c>
      <c r="N33" s="1" t="s">
        <v>608</v>
      </c>
      <c r="O33" s="1" t="s">
        <v>608</v>
      </c>
      <c r="P33" s="1" t="s">
        <v>608</v>
      </c>
      <c r="Q33" s="1" t="s">
        <v>608</v>
      </c>
      <c r="R33" s="1" t="s">
        <v>608</v>
      </c>
      <c r="S33" s="1" t="s">
        <v>608</v>
      </c>
      <c r="T33" s="1" t="s">
        <v>608</v>
      </c>
      <c r="U33" s="1" t="s">
        <v>608</v>
      </c>
      <c r="V33" s="33" t="s">
        <v>479</v>
      </c>
      <c r="W33" s="1">
        <v>2024</v>
      </c>
      <c r="X33" s="1">
        <v>2025</v>
      </c>
      <c r="Y33" s="1" t="s">
        <v>608</v>
      </c>
      <c r="Z33" s="1">
        <v>2026</v>
      </c>
      <c r="AA33" s="1">
        <v>2027</v>
      </c>
      <c r="AB33" s="1" t="s">
        <v>608</v>
      </c>
      <c r="AC33" s="1">
        <v>2028</v>
      </c>
      <c r="AD33" s="1" t="s">
        <v>481</v>
      </c>
    </row>
    <row r="34" spans="1:30" ht="45" x14ac:dyDescent="0.2">
      <c r="A34" s="1" t="s">
        <v>16</v>
      </c>
      <c r="B34" s="1" t="s">
        <v>265</v>
      </c>
      <c r="C34" s="5" t="s">
        <v>175</v>
      </c>
      <c r="D34" s="1" t="s">
        <v>12</v>
      </c>
      <c r="E34" s="11">
        <v>0.75609300000000002</v>
      </c>
      <c r="F34" s="1" t="s">
        <v>606</v>
      </c>
      <c r="G34" s="12">
        <v>44.161765880062887</v>
      </c>
      <c r="H34" s="1" t="s">
        <v>12</v>
      </c>
      <c r="I34" s="1" t="s">
        <v>164</v>
      </c>
      <c r="J34" s="1" t="s">
        <v>608</v>
      </c>
      <c r="K34" s="1" t="s">
        <v>608</v>
      </c>
      <c r="L34" s="1" t="s">
        <v>608</v>
      </c>
      <c r="M34" s="1" t="s">
        <v>608</v>
      </c>
      <c r="N34" s="1" t="s">
        <v>608</v>
      </c>
      <c r="O34" s="1" t="s">
        <v>608</v>
      </c>
      <c r="P34" s="1" t="s">
        <v>608</v>
      </c>
      <c r="Q34" s="1" t="s">
        <v>608</v>
      </c>
      <c r="R34" s="1" t="s">
        <v>608</v>
      </c>
      <c r="S34" s="1" t="s">
        <v>608</v>
      </c>
      <c r="T34" s="1" t="s">
        <v>608</v>
      </c>
      <c r="U34" s="1" t="s">
        <v>608</v>
      </c>
      <c r="V34" s="33" t="s">
        <v>479</v>
      </c>
      <c r="W34" s="1">
        <v>2024</v>
      </c>
      <c r="X34" s="1">
        <v>2025</v>
      </c>
      <c r="Y34" s="1" t="s">
        <v>608</v>
      </c>
      <c r="Z34" s="1">
        <v>2026</v>
      </c>
      <c r="AA34" s="1">
        <v>2027</v>
      </c>
      <c r="AB34" s="1" t="s">
        <v>608</v>
      </c>
      <c r="AC34" s="1">
        <v>2028</v>
      </c>
      <c r="AD34" s="1" t="s">
        <v>481</v>
      </c>
    </row>
    <row r="35" spans="1:30" ht="45" x14ac:dyDescent="0.2">
      <c r="A35" s="1" t="s">
        <v>16</v>
      </c>
      <c r="B35" s="1" t="s">
        <v>266</v>
      </c>
      <c r="C35" s="5" t="s">
        <v>176</v>
      </c>
      <c r="D35" s="1" t="s">
        <v>12</v>
      </c>
      <c r="E35" s="11">
        <v>0.81164800000000004</v>
      </c>
      <c r="F35" s="1" t="s">
        <v>606</v>
      </c>
      <c r="G35" s="12">
        <v>57.010582945813255</v>
      </c>
      <c r="H35" s="1" t="s">
        <v>12</v>
      </c>
      <c r="I35" s="1" t="s">
        <v>164</v>
      </c>
      <c r="J35" s="1" t="s">
        <v>608</v>
      </c>
      <c r="K35" s="1" t="s">
        <v>608</v>
      </c>
      <c r="L35" s="1" t="s">
        <v>608</v>
      </c>
      <c r="M35" s="1" t="s">
        <v>608</v>
      </c>
      <c r="N35" s="1" t="s">
        <v>608</v>
      </c>
      <c r="O35" s="1" t="s">
        <v>608</v>
      </c>
      <c r="P35" s="1" t="s">
        <v>608</v>
      </c>
      <c r="Q35" s="1" t="s">
        <v>608</v>
      </c>
      <c r="R35" s="1" t="s">
        <v>608</v>
      </c>
      <c r="S35" s="1" t="s">
        <v>608</v>
      </c>
      <c r="T35" s="1" t="s">
        <v>608</v>
      </c>
      <c r="U35" s="1" t="s">
        <v>608</v>
      </c>
      <c r="V35" s="33" t="s">
        <v>479</v>
      </c>
      <c r="W35" s="1">
        <v>2024</v>
      </c>
      <c r="X35" s="1">
        <v>2025</v>
      </c>
      <c r="Y35" s="1" t="s">
        <v>608</v>
      </c>
      <c r="Z35" s="1">
        <v>2026</v>
      </c>
      <c r="AA35" s="1">
        <v>2027</v>
      </c>
      <c r="AB35" s="1" t="s">
        <v>608</v>
      </c>
      <c r="AC35" s="1">
        <v>2028</v>
      </c>
      <c r="AD35" s="1" t="s">
        <v>481</v>
      </c>
    </row>
    <row r="36" spans="1:30" ht="45" x14ac:dyDescent="0.2">
      <c r="A36" s="1" t="s">
        <v>16</v>
      </c>
      <c r="B36" s="1" t="s">
        <v>267</v>
      </c>
      <c r="C36" s="5" t="s">
        <v>177</v>
      </c>
      <c r="D36" s="1" t="s">
        <v>12</v>
      </c>
      <c r="E36" s="11">
        <v>1.0512900000000001</v>
      </c>
      <c r="F36" s="1" t="s">
        <v>606</v>
      </c>
      <c r="G36" s="12">
        <v>65.254516321883173</v>
      </c>
      <c r="H36" s="1" t="s">
        <v>12</v>
      </c>
      <c r="I36" s="1" t="s">
        <v>164</v>
      </c>
      <c r="J36" s="1" t="s">
        <v>608</v>
      </c>
      <c r="K36" s="1" t="s">
        <v>608</v>
      </c>
      <c r="L36" s="1" t="s">
        <v>608</v>
      </c>
      <c r="M36" s="1" t="s">
        <v>608</v>
      </c>
      <c r="N36" s="1" t="s">
        <v>608</v>
      </c>
      <c r="O36" s="1" t="s">
        <v>608</v>
      </c>
      <c r="P36" s="1" t="s">
        <v>608</v>
      </c>
      <c r="Q36" s="1" t="s">
        <v>608</v>
      </c>
      <c r="R36" s="1" t="s">
        <v>608</v>
      </c>
      <c r="S36" s="1" t="s">
        <v>608</v>
      </c>
      <c r="T36" s="1" t="s">
        <v>608</v>
      </c>
      <c r="U36" s="1" t="s">
        <v>608</v>
      </c>
      <c r="V36" s="33" t="s">
        <v>479</v>
      </c>
      <c r="W36" s="1">
        <v>2024</v>
      </c>
      <c r="X36" s="1">
        <v>2025</v>
      </c>
      <c r="Y36" s="1" t="s">
        <v>608</v>
      </c>
      <c r="Z36" s="1">
        <v>2026</v>
      </c>
      <c r="AA36" s="1">
        <v>2027</v>
      </c>
      <c r="AB36" s="1" t="s">
        <v>608</v>
      </c>
      <c r="AC36" s="1">
        <v>2028</v>
      </c>
      <c r="AD36" s="1" t="s">
        <v>481</v>
      </c>
    </row>
    <row r="37" spans="1:30" ht="90" x14ac:dyDescent="0.2">
      <c r="A37" s="1" t="s">
        <v>16</v>
      </c>
      <c r="B37" s="1" t="s">
        <v>268</v>
      </c>
      <c r="C37" s="5" t="s">
        <v>178</v>
      </c>
      <c r="D37" s="1" t="s">
        <v>12</v>
      </c>
      <c r="E37" s="11">
        <v>10</v>
      </c>
      <c r="F37" s="1" t="s">
        <v>606</v>
      </c>
      <c r="G37" s="12">
        <v>151.86268209313144</v>
      </c>
      <c r="H37" s="1" t="s">
        <v>12</v>
      </c>
      <c r="I37" s="1" t="s">
        <v>164</v>
      </c>
      <c r="J37" s="1" t="s">
        <v>608</v>
      </c>
      <c r="K37" s="1" t="s">
        <v>608</v>
      </c>
      <c r="L37" s="1" t="s">
        <v>608</v>
      </c>
      <c r="M37" s="1" t="s">
        <v>608</v>
      </c>
      <c r="N37" s="1" t="s">
        <v>608</v>
      </c>
      <c r="O37" s="1" t="s">
        <v>608</v>
      </c>
      <c r="P37" s="1" t="s">
        <v>608</v>
      </c>
      <c r="Q37" s="1" t="s">
        <v>608</v>
      </c>
      <c r="R37" s="1" t="s">
        <v>608</v>
      </c>
      <c r="S37" s="1" t="s">
        <v>608</v>
      </c>
      <c r="T37" s="1" t="s">
        <v>608</v>
      </c>
      <c r="U37" s="1" t="s">
        <v>608</v>
      </c>
      <c r="V37" s="33" t="s">
        <v>479</v>
      </c>
      <c r="W37" s="1">
        <v>2018</v>
      </c>
      <c r="X37" s="1">
        <v>2020</v>
      </c>
      <c r="Y37" s="1" t="s">
        <v>608</v>
      </c>
      <c r="Z37" s="1">
        <v>2021</v>
      </c>
      <c r="AA37" s="1">
        <v>2021</v>
      </c>
      <c r="AB37" s="1" t="s">
        <v>608</v>
      </c>
      <c r="AC37" s="40">
        <v>2024</v>
      </c>
      <c r="AD37" s="1" t="s">
        <v>481</v>
      </c>
    </row>
    <row r="38" spans="1:30" ht="45" x14ac:dyDescent="0.2">
      <c r="A38" s="1" t="s">
        <v>16</v>
      </c>
      <c r="B38" s="1" t="s">
        <v>269</v>
      </c>
      <c r="C38" s="5" t="s">
        <v>179</v>
      </c>
      <c r="D38" s="1" t="s">
        <v>12</v>
      </c>
      <c r="E38" s="11">
        <v>4.9000000000000004</v>
      </c>
      <c r="F38" s="1" t="s">
        <v>606</v>
      </c>
      <c r="G38" s="12">
        <v>130.49242580677131</v>
      </c>
      <c r="H38" s="1" t="s">
        <v>12</v>
      </c>
      <c r="I38" s="1" t="s">
        <v>164</v>
      </c>
      <c r="J38" s="1" t="s">
        <v>608</v>
      </c>
      <c r="K38" s="1" t="s">
        <v>608</v>
      </c>
      <c r="L38" s="1" t="s">
        <v>608</v>
      </c>
      <c r="M38" s="1" t="s">
        <v>608</v>
      </c>
      <c r="N38" s="1" t="s">
        <v>608</v>
      </c>
      <c r="O38" s="1" t="s">
        <v>608</v>
      </c>
      <c r="P38" s="1" t="s">
        <v>608</v>
      </c>
      <c r="Q38" s="1" t="s">
        <v>608</v>
      </c>
      <c r="R38" s="1" t="s">
        <v>608</v>
      </c>
      <c r="S38" s="1" t="s">
        <v>608</v>
      </c>
      <c r="T38" s="1" t="s">
        <v>608</v>
      </c>
      <c r="U38" s="1" t="s">
        <v>608</v>
      </c>
      <c r="V38" s="33" t="s">
        <v>479</v>
      </c>
      <c r="W38" s="1">
        <v>2022</v>
      </c>
      <c r="X38" s="1">
        <v>2024</v>
      </c>
      <c r="Y38" s="1" t="s">
        <v>608</v>
      </c>
      <c r="Z38" s="40">
        <v>2025</v>
      </c>
      <c r="AA38" s="40">
        <v>2026</v>
      </c>
      <c r="AB38" s="1" t="s">
        <v>608</v>
      </c>
      <c r="AC38" s="40">
        <v>2027</v>
      </c>
      <c r="AD38" s="1" t="s">
        <v>481</v>
      </c>
    </row>
    <row r="39" spans="1:30" ht="101.25" x14ac:dyDescent="0.2">
      <c r="A39" s="1" t="s">
        <v>16</v>
      </c>
      <c r="B39" s="1" t="s">
        <v>270</v>
      </c>
      <c r="C39" s="5" t="s">
        <v>180</v>
      </c>
      <c r="D39" s="1" t="s">
        <v>12</v>
      </c>
      <c r="E39" s="41">
        <v>3.7</v>
      </c>
      <c r="F39" s="1" t="s">
        <v>606</v>
      </c>
      <c r="G39" s="12">
        <v>165.79120171142077</v>
      </c>
      <c r="H39" s="1" t="s">
        <v>12</v>
      </c>
      <c r="I39" s="1" t="s">
        <v>164</v>
      </c>
      <c r="J39" s="1" t="s">
        <v>608</v>
      </c>
      <c r="K39" s="1" t="s">
        <v>608</v>
      </c>
      <c r="L39" s="1" t="s">
        <v>608</v>
      </c>
      <c r="M39" s="1" t="s">
        <v>608</v>
      </c>
      <c r="N39" s="1" t="s">
        <v>608</v>
      </c>
      <c r="O39" s="1" t="s">
        <v>608</v>
      </c>
      <c r="P39" s="1" t="s">
        <v>608</v>
      </c>
      <c r="Q39" s="1" t="s">
        <v>608</v>
      </c>
      <c r="R39" s="1" t="s">
        <v>608</v>
      </c>
      <c r="S39" s="1" t="s">
        <v>608</v>
      </c>
      <c r="T39" s="1" t="s">
        <v>608</v>
      </c>
      <c r="U39" s="1" t="s">
        <v>608</v>
      </c>
      <c r="V39" s="33" t="s">
        <v>479</v>
      </c>
      <c r="W39" s="1">
        <v>2016</v>
      </c>
      <c r="X39" s="1">
        <v>2019</v>
      </c>
      <c r="Y39" s="1" t="s">
        <v>608</v>
      </c>
      <c r="Z39" s="1">
        <v>2020</v>
      </c>
      <c r="AA39" s="1">
        <v>2021</v>
      </c>
      <c r="AB39" s="1" t="s">
        <v>608</v>
      </c>
      <c r="AC39" s="1">
        <v>2022</v>
      </c>
      <c r="AD39" s="1" t="s">
        <v>481</v>
      </c>
    </row>
    <row r="40" spans="1:30" ht="45" x14ac:dyDescent="0.2">
      <c r="A40" s="1" t="s">
        <v>16</v>
      </c>
      <c r="B40" s="1" t="s">
        <v>271</v>
      </c>
      <c r="C40" s="5" t="s">
        <v>181</v>
      </c>
      <c r="D40" s="1" t="s">
        <v>12</v>
      </c>
      <c r="E40" s="11">
        <v>3.33</v>
      </c>
      <c r="F40" s="1" t="s">
        <v>606</v>
      </c>
      <c r="G40" s="12">
        <v>172.13997739625418</v>
      </c>
      <c r="H40" s="1" t="s">
        <v>12</v>
      </c>
      <c r="I40" s="1" t="s">
        <v>164</v>
      </c>
      <c r="J40" s="1" t="s">
        <v>608</v>
      </c>
      <c r="K40" s="1" t="s">
        <v>608</v>
      </c>
      <c r="L40" s="1" t="s">
        <v>608</v>
      </c>
      <c r="M40" s="1" t="s">
        <v>608</v>
      </c>
      <c r="N40" s="1" t="s">
        <v>608</v>
      </c>
      <c r="O40" s="1" t="s">
        <v>608</v>
      </c>
      <c r="P40" s="1" t="s">
        <v>608</v>
      </c>
      <c r="Q40" s="1" t="s">
        <v>608</v>
      </c>
      <c r="R40" s="1" t="s">
        <v>608</v>
      </c>
      <c r="S40" s="1" t="s">
        <v>608</v>
      </c>
      <c r="T40" s="1" t="s">
        <v>608</v>
      </c>
      <c r="U40" s="1" t="s">
        <v>608</v>
      </c>
      <c r="V40" s="33" t="s">
        <v>479</v>
      </c>
      <c r="W40" s="1">
        <v>2024</v>
      </c>
      <c r="X40" s="1">
        <v>2025</v>
      </c>
      <c r="Y40" s="1" t="s">
        <v>608</v>
      </c>
      <c r="Z40" s="1">
        <v>2026</v>
      </c>
      <c r="AA40" s="1">
        <v>2027</v>
      </c>
      <c r="AB40" s="1" t="s">
        <v>608</v>
      </c>
      <c r="AC40" s="1">
        <v>2028</v>
      </c>
      <c r="AD40" s="1" t="s">
        <v>481</v>
      </c>
    </row>
    <row r="41" spans="1:30" ht="45" x14ac:dyDescent="0.2">
      <c r="A41" s="1" t="s">
        <v>16</v>
      </c>
      <c r="B41" s="1" t="s">
        <v>272</v>
      </c>
      <c r="C41" s="5" t="s">
        <v>182</v>
      </c>
      <c r="D41" s="1" t="s">
        <v>12</v>
      </c>
      <c r="E41" s="11">
        <v>1.76</v>
      </c>
      <c r="F41" s="1" t="s">
        <v>606</v>
      </c>
      <c r="G41" s="12">
        <v>30.23025144752166</v>
      </c>
      <c r="H41" s="1" t="s">
        <v>12</v>
      </c>
      <c r="I41" s="1" t="s">
        <v>164</v>
      </c>
      <c r="J41" s="1" t="s">
        <v>608</v>
      </c>
      <c r="K41" s="1" t="s">
        <v>608</v>
      </c>
      <c r="L41" s="1" t="s">
        <v>608</v>
      </c>
      <c r="M41" s="1" t="s">
        <v>608</v>
      </c>
      <c r="N41" s="1" t="s">
        <v>608</v>
      </c>
      <c r="O41" s="1" t="s">
        <v>608</v>
      </c>
      <c r="P41" s="1" t="s">
        <v>608</v>
      </c>
      <c r="Q41" s="1" t="s">
        <v>608</v>
      </c>
      <c r="R41" s="1" t="s">
        <v>608</v>
      </c>
      <c r="S41" s="1" t="s">
        <v>608</v>
      </c>
      <c r="T41" s="1" t="s">
        <v>608</v>
      </c>
      <c r="U41" s="1" t="s">
        <v>608</v>
      </c>
      <c r="V41" s="33" t="s">
        <v>479</v>
      </c>
      <c r="W41" s="1">
        <v>2024</v>
      </c>
      <c r="X41" s="1">
        <v>2025</v>
      </c>
      <c r="Y41" s="1" t="s">
        <v>608</v>
      </c>
      <c r="Z41" s="1">
        <v>2026</v>
      </c>
      <c r="AA41" s="1">
        <v>2027</v>
      </c>
      <c r="AB41" s="1" t="s">
        <v>608</v>
      </c>
      <c r="AC41" s="1">
        <v>2028</v>
      </c>
      <c r="AD41" s="1" t="s">
        <v>481</v>
      </c>
    </row>
    <row r="42" spans="1:30" ht="56.25" x14ac:dyDescent="0.2">
      <c r="A42" s="1" t="s">
        <v>16</v>
      </c>
      <c r="B42" s="1" t="s">
        <v>273</v>
      </c>
      <c r="C42" s="5" t="s">
        <v>183</v>
      </c>
      <c r="D42" s="1" t="s">
        <v>12</v>
      </c>
      <c r="E42" s="11">
        <v>7.2044009999999998</v>
      </c>
      <c r="F42" s="1" t="s">
        <v>606</v>
      </c>
      <c r="G42" s="12">
        <v>105.72917801235474</v>
      </c>
      <c r="H42" s="1" t="s">
        <v>12</v>
      </c>
      <c r="I42" s="1" t="s">
        <v>164</v>
      </c>
      <c r="J42" s="1" t="s">
        <v>608</v>
      </c>
      <c r="K42" s="1" t="s">
        <v>608</v>
      </c>
      <c r="L42" s="1" t="s">
        <v>608</v>
      </c>
      <c r="M42" s="1" t="s">
        <v>608</v>
      </c>
      <c r="N42" s="1" t="s">
        <v>608</v>
      </c>
      <c r="O42" s="1" t="s">
        <v>608</v>
      </c>
      <c r="P42" s="1" t="s">
        <v>608</v>
      </c>
      <c r="Q42" s="1" t="s">
        <v>608</v>
      </c>
      <c r="R42" s="1" t="s">
        <v>608</v>
      </c>
      <c r="S42" s="1" t="s">
        <v>608</v>
      </c>
      <c r="T42" s="1" t="s">
        <v>608</v>
      </c>
      <c r="U42" s="1" t="s">
        <v>608</v>
      </c>
      <c r="V42" s="33" t="s">
        <v>479</v>
      </c>
      <c r="W42" s="1">
        <v>2024</v>
      </c>
      <c r="X42" s="1">
        <v>2025</v>
      </c>
      <c r="Y42" s="1" t="s">
        <v>608</v>
      </c>
      <c r="Z42" s="1">
        <v>2026</v>
      </c>
      <c r="AA42" s="1">
        <v>2027</v>
      </c>
      <c r="AB42" s="1" t="s">
        <v>608</v>
      </c>
      <c r="AC42" s="1">
        <v>2028</v>
      </c>
      <c r="AD42" s="1" t="s">
        <v>481</v>
      </c>
    </row>
    <row r="43" spans="1:30" ht="45" x14ac:dyDescent="0.2">
      <c r="A43" s="1" t="s">
        <v>16</v>
      </c>
      <c r="B43" s="1" t="s">
        <v>274</v>
      </c>
      <c r="C43" s="5" t="s">
        <v>184</v>
      </c>
      <c r="D43" s="1" t="s">
        <v>12</v>
      </c>
      <c r="E43" s="11">
        <v>0.331897</v>
      </c>
      <c r="F43" s="1" t="s">
        <v>606</v>
      </c>
      <c r="G43" s="12">
        <v>30.237246528838927</v>
      </c>
      <c r="H43" s="1" t="s">
        <v>12</v>
      </c>
      <c r="I43" s="1" t="s">
        <v>164</v>
      </c>
      <c r="J43" s="1" t="s">
        <v>608</v>
      </c>
      <c r="K43" s="1" t="s">
        <v>608</v>
      </c>
      <c r="L43" s="1" t="s">
        <v>608</v>
      </c>
      <c r="M43" s="1" t="s">
        <v>608</v>
      </c>
      <c r="N43" s="1" t="s">
        <v>608</v>
      </c>
      <c r="O43" s="1" t="s">
        <v>608</v>
      </c>
      <c r="P43" s="1" t="s">
        <v>608</v>
      </c>
      <c r="Q43" s="1" t="s">
        <v>608</v>
      </c>
      <c r="R43" s="1" t="s">
        <v>608</v>
      </c>
      <c r="S43" s="1" t="s">
        <v>608</v>
      </c>
      <c r="T43" s="1" t="s">
        <v>608</v>
      </c>
      <c r="U43" s="1" t="s">
        <v>608</v>
      </c>
      <c r="V43" s="33" t="s">
        <v>479</v>
      </c>
      <c r="W43" s="1">
        <v>2024</v>
      </c>
      <c r="X43" s="1">
        <v>2025</v>
      </c>
      <c r="Y43" s="1" t="s">
        <v>608</v>
      </c>
      <c r="Z43" s="1">
        <v>2026</v>
      </c>
      <c r="AA43" s="1">
        <v>2027</v>
      </c>
      <c r="AB43" s="1" t="s">
        <v>608</v>
      </c>
      <c r="AC43" s="1">
        <v>2028</v>
      </c>
      <c r="AD43" s="1" t="s">
        <v>481</v>
      </c>
    </row>
    <row r="44" spans="1:30" ht="45" x14ac:dyDescent="0.2">
      <c r="A44" s="1" t="s">
        <v>16</v>
      </c>
      <c r="B44" s="1" t="s">
        <v>275</v>
      </c>
      <c r="C44" s="5" t="s">
        <v>185</v>
      </c>
      <c r="D44" s="1" t="s">
        <v>12</v>
      </c>
      <c r="E44" s="11">
        <v>1.8168299999999999</v>
      </c>
      <c r="F44" s="1" t="s">
        <v>606</v>
      </c>
      <c r="G44" s="12">
        <v>32.234059640921018</v>
      </c>
      <c r="H44" s="1" t="s">
        <v>12</v>
      </c>
      <c r="I44" s="1" t="s">
        <v>164</v>
      </c>
      <c r="J44" s="1" t="s">
        <v>608</v>
      </c>
      <c r="K44" s="1" t="s">
        <v>608</v>
      </c>
      <c r="L44" s="1" t="s">
        <v>608</v>
      </c>
      <c r="M44" s="1" t="s">
        <v>608</v>
      </c>
      <c r="N44" s="1" t="s">
        <v>608</v>
      </c>
      <c r="O44" s="1" t="s">
        <v>608</v>
      </c>
      <c r="P44" s="1" t="s">
        <v>608</v>
      </c>
      <c r="Q44" s="1" t="s">
        <v>608</v>
      </c>
      <c r="R44" s="1" t="s">
        <v>608</v>
      </c>
      <c r="S44" s="1" t="s">
        <v>608</v>
      </c>
      <c r="T44" s="1" t="s">
        <v>608</v>
      </c>
      <c r="U44" s="1" t="s">
        <v>608</v>
      </c>
      <c r="V44" s="33" t="s">
        <v>479</v>
      </c>
      <c r="W44" s="1">
        <v>2024</v>
      </c>
      <c r="X44" s="1">
        <v>2025</v>
      </c>
      <c r="Y44" s="1" t="s">
        <v>608</v>
      </c>
      <c r="Z44" s="1">
        <v>2026</v>
      </c>
      <c r="AA44" s="1">
        <v>2027</v>
      </c>
      <c r="AB44" s="1" t="s">
        <v>608</v>
      </c>
      <c r="AC44" s="1">
        <v>2028</v>
      </c>
      <c r="AD44" s="1" t="s">
        <v>481</v>
      </c>
    </row>
    <row r="45" spans="1:30" ht="78.75" x14ac:dyDescent="0.2">
      <c r="A45" s="1" t="s">
        <v>16</v>
      </c>
      <c r="B45" s="1" t="s">
        <v>276</v>
      </c>
      <c r="C45" s="5" t="s">
        <v>186</v>
      </c>
      <c r="D45" s="1" t="s">
        <v>12</v>
      </c>
      <c r="E45" s="11">
        <v>8.9</v>
      </c>
      <c r="F45" s="1" t="s">
        <v>606</v>
      </c>
      <c r="G45" s="12">
        <v>348.28875613522911</v>
      </c>
      <c r="H45" s="1" t="s">
        <v>12</v>
      </c>
      <c r="I45" s="1" t="s">
        <v>164</v>
      </c>
      <c r="J45" s="1" t="s">
        <v>608</v>
      </c>
      <c r="K45" s="1" t="s">
        <v>608</v>
      </c>
      <c r="L45" s="1" t="s">
        <v>608</v>
      </c>
      <c r="M45" s="1" t="s">
        <v>608</v>
      </c>
      <c r="N45" s="1" t="s">
        <v>608</v>
      </c>
      <c r="O45" s="1" t="s">
        <v>608</v>
      </c>
      <c r="P45" s="1" t="s">
        <v>608</v>
      </c>
      <c r="Q45" s="1" t="s">
        <v>608</v>
      </c>
      <c r="R45" s="1" t="s">
        <v>608</v>
      </c>
      <c r="S45" s="1" t="s">
        <v>608</v>
      </c>
      <c r="T45" s="1" t="s">
        <v>608</v>
      </c>
      <c r="U45" s="1" t="s">
        <v>608</v>
      </c>
      <c r="V45" s="33" t="s">
        <v>479</v>
      </c>
      <c r="W45" s="1">
        <v>2020</v>
      </c>
      <c r="X45" s="1">
        <v>2021</v>
      </c>
      <c r="Y45" s="1" t="s">
        <v>608</v>
      </c>
      <c r="Z45" s="1">
        <v>2021</v>
      </c>
      <c r="AA45" s="1">
        <v>2022</v>
      </c>
      <c r="AB45" s="1" t="s">
        <v>608</v>
      </c>
      <c r="AC45" s="40">
        <v>2024</v>
      </c>
      <c r="AD45" s="1" t="s">
        <v>481</v>
      </c>
    </row>
    <row r="46" spans="1:30" ht="78.75" x14ac:dyDescent="0.2">
      <c r="A46" s="1" t="s">
        <v>16</v>
      </c>
      <c r="B46" s="1" t="s">
        <v>277</v>
      </c>
      <c r="C46" s="5" t="s">
        <v>187</v>
      </c>
      <c r="D46" s="1" t="s">
        <v>12</v>
      </c>
      <c r="E46" s="11">
        <v>4.4000000000000004</v>
      </c>
      <c r="F46" s="1" t="s">
        <v>606</v>
      </c>
      <c r="G46" s="12">
        <v>588.32919037299303</v>
      </c>
      <c r="H46" s="1" t="s">
        <v>12</v>
      </c>
      <c r="I46" s="1" t="s">
        <v>164</v>
      </c>
      <c r="J46" s="1" t="s">
        <v>608</v>
      </c>
      <c r="K46" s="1" t="s">
        <v>608</v>
      </c>
      <c r="L46" s="1" t="s">
        <v>608</v>
      </c>
      <c r="M46" s="1" t="s">
        <v>608</v>
      </c>
      <c r="N46" s="1" t="s">
        <v>608</v>
      </c>
      <c r="O46" s="1" t="s">
        <v>608</v>
      </c>
      <c r="P46" s="1" t="s">
        <v>608</v>
      </c>
      <c r="Q46" s="1" t="s">
        <v>608</v>
      </c>
      <c r="R46" s="1" t="s">
        <v>608</v>
      </c>
      <c r="S46" s="1" t="s">
        <v>608</v>
      </c>
      <c r="T46" s="1" t="s">
        <v>608</v>
      </c>
      <c r="U46" s="1" t="s">
        <v>608</v>
      </c>
      <c r="V46" s="33" t="s">
        <v>479</v>
      </c>
      <c r="W46" s="1">
        <v>2020</v>
      </c>
      <c r="X46" s="1">
        <v>2021</v>
      </c>
      <c r="Y46" s="1" t="s">
        <v>608</v>
      </c>
      <c r="Z46" s="1">
        <v>2021</v>
      </c>
      <c r="AA46" s="1">
        <v>2022</v>
      </c>
      <c r="AB46" s="1" t="s">
        <v>608</v>
      </c>
      <c r="AC46" s="40">
        <v>2024</v>
      </c>
      <c r="AD46" s="1" t="s">
        <v>481</v>
      </c>
    </row>
    <row r="47" spans="1:30" ht="56.25" x14ac:dyDescent="0.2">
      <c r="A47" s="1" t="s">
        <v>16</v>
      </c>
      <c r="B47" s="1" t="s">
        <v>278</v>
      </c>
      <c r="C47" s="5" t="s">
        <v>188</v>
      </c>
      <c r="D47" s="1" t="s">
        <v>12</v>
      </c>
      <c r="E47" s="11">
        <v>1.4768399999999999</v>
      </c>
      <c r="F47" s="1" t="s">
        <v>606</v>
      </c>
      <c r="G47" s="12">
        <v>554.93102294617029</v>
      </c>
      <c r="H47" s="1" t="s">
        <v>12</v>
      </c>
      <c r="I47" s="1" t="s">
        <v>164</v>
      </c>
      <c r="J47" s="1" t="s">
        <v>608</v>
      </c>
      <c r="K47" s="1" t="s">
        <v>608</v>
      </c>
      <c r="L47" s="1" t="s">
        <v>608</v>
      </c>
      <c r="M47" s="1" t="s">
        <v>608</v>
      </c>
      <c r="N47" s="1" t="s">
        <v>608</v>
      </c>
      <c r="O47" s="1" t="s">
        <v>608</v>
      </c>
      <c r="P47" s="1" t="s">
        <v>608</v>
      </c>
      <c r="Q47" s="1" t="s">
        <v>608</v>
      </c>
      <c r="R47" s="1" t="s">
        <v>608</v>
      </c>
      <c r="S47" s="1" t="s">
        <v>608</v>
      </c>
      <c r="T47" s="1" t="s">
        <v>608</v>
      </c>
      <c r="U47" s="1" t="s">
        <v>608</v>
      </c>
      <c r="V47" s="33" t="s">
        <v>479</v>
      </c>
      <c r="W47" s="1">
        <v>2024</v>
      </c>
      <c r="X47" s="1">
        <v>2025</v>
      </c>
      <c r="Y47" s="1" t="s">
        <v>608</v>
      </c>
      <c r="Z47" s="1">
        <v>2026</v>
      </c>
      <c r="AA47" s="1">
        <v>2027</v>
      </c>
      <c r="AB47" s="1" t="s">
        <v>608</v>
      </c>
      <c r="AC47" s="1">
        <v>2028</v>
      </c>
      <c r="AD47" s="1" t="s">
        <v>481</v>
      </c>
    </row>
    <row r="48" spans="1:30" ht="123.75" x14ac:dyDescent="0.2">
      <c r="A48" s="1" t="s">
        <v>16</v>
      </c>
      <c r="B48" s="1" t="s">
        <v>279</v>
      </c>
      <c r="C48" s="5" t="s">
        <v>189</v>
      </c>
      <c r="D48" s="1" t="s">
        <v>12</v>
      </c>
      <c r="E48" s="11">
        <v>59.5</v>
      </c>
      <c r="F48" s="1" t="s">
        <v>606</v>
      </c>
      <c r="G48" s="12">
        <v>3160.4960168718767</v>
      </c>
      <c r="H48" s="1" t="s">
        <v>12</v>
      </c>
      <c r="I48" s="1" t="s">
        <v>164</v>
      </c>
      <c r="J48" s="1" t="s">
        <v>608</v>
      </c>
      <c r="K48" s="1" t="s">
        <v>608</v>
      </c>
      <c r="L48" s="1" t="s">
        <v>608</v>
      </c>
      <c r="M48" s="1" t="s">
        <v>608</v>
      </c>
      <c r="N48" s="1" t="s">
        <v>608</v>
      </c>
      <c r="O48" s="1" t="s">
        <v>608</v>
      </c>
      <c r="P48" s="1" t="s">
        <v>608</v>
      </c>
      <c r="Q48" s="1" t="s">
        <v>608</v>
      </c>
      <c r="R48" s="1" t="s">
        <v>608</v>
      </c>
      <c r="S48" s="1" t="s">
        <v>608</v>
      </c>
      <c r="T48" s="1" t="s">
        <v>608</v>
      </c>
      <c r="U48" s="1" t="s">
        <v>608</v>
      </c>
      <c r="V48" s="33" t="s">
        <v>479</v>
      </c>
      <c r="W48" s="1">
        <v>2016</v>
      </c>
      <c r="X48" s="1">
        <v>2020</v>
      </c>
      <c r="Y48" s="1" t="s">
        <v>608</v>
      </c>
      <c r="Z48" s="1">
        <v>2020</v>
      </c>
      <c r="AA48" s="1">
        <v>2022</v>
      </c>
      <c r="AB48" s="1" t="s">
        <v>608</v>
      </c>
      <c r="AC48" s="1">
        <v>2023</v>
      </c>
      <c r="AD48" s="1" t="s">
        <v>481</v>
      </c>
    </row>
    <row r="49" spans="1:30" ht="56.25" x14ac:dyDescent="0.2">
      <c r="A49" s="1" t="s">
        <v>16</v>
      </c>
      <c r="B49" s="1" t="s">
        <v>280</v>
      </c>
      <c r="C49" s="5" t="s">
        <v>190</v>
      </c>
      <c r="D49" s="1" t="s">
        <v>12</v>
      </c>
      <c r="E49" s="11">
        <v>8.5</v>
      </c>
      <c r="F49" s="1" t="s">
        <v>606</v>
      </c>
      <c r="G49" s="12">
        <v>169.17929761127951</v>
      </c>
      <c r="H49" s="1" t="s">
        <v>12</v>
      </c>
      <c r="I49" s="1" t="s">
        <v>164</v>
      </c>
      <c r="J49" s="1" t="s">
        <v>608</v>
      </c>
      <c r="K49" s="1" t="s">
        <v>608</v>
      </c>
      <c r="L49" s="1" t="s">
        <v>608</v>
      </c>
      <c r="M49" s="1" t="s">
        <v>608</v>
      </c>
      <c r="N49" s="1" t="s">
        <v>608</v>
      </c>
      <c r="O49" s="1" t="s">
        <v>608</v>
      </c>
      <c r="P49" s="1" t="s">
        <v>608</v>
      </c>
      <c r="Q49" s="1" t="s">
        <v>608</v>
      </c>
      <c r="R49" s="1" t="s">
        <v>608</v>
      </c>
      <c r="S49" s="1" t="s">
        <v>608</v>
      </c>
      <c r="T49" s="1" t="s">
        <v>608</v>
      </c>
      <c r="U49" s="1" t="s">
        <v>608</v>
      </c>
      <c r="V49" s="33" t="s">
        <v>479</v>
      </c>
      <c r="W49" s="1">
        <v>2021</v>
      </c>
      <c r="X49" s="1">
        <v>2023</v>
      </c>
      <c r="Y49" s="1" t="s">
        <v>608</v>
      </c>
      <c r="Z49" s="1">
        <v>2023</v>
      </c>
      <c r="AA49" s="1">
        <v>2024</v>
      </c>
      <c r="AB49" s="1" t="s">
        <v>608</v>
      </c>
      <c r="AC49" s="1">
        <v>2025</v>
      </c>
      <c r="AD49" s="1" t="s">
        <v>481</v>
      </c>
    </row>
    <row r="50" spans="1:30" ht="45" x14ac:dyDescent="0.2">
      <c r="A50" s="1" t="s">
        <v>16</v>
      </c>
      <c r="B50" s="1" t="s">
        <v>281</v>
      </c>
      <c r="C50" s="5" t="s">
        <v>191</v>
      </c>
      <c r="D50" s="1" t="s">
        <v>12</v>
      </c>
      <c r="E50" s="11">
        <v>42.56</v>
      </c>
      <c r="F50" s="1" t="s">
        <v>606</v>
      </c>
      <c r="G50" s="12">
        <v>4222.6736106631688</v>
      </c>
      <c r="H50" s="1" t="s">
        <v>12</v>
      </c>
      <c r="I50" s="1" t="s">
        <v>164</v>
      </c>
      <c r="J50" s="1" t="s">
        <v>608</v>
      </c>
      <c r="K50" s="1" t="s">
        <v>608</v>
      </c>
      <c r="L50" s="1" t="s">
        <v>608</v>
      </c>
      <c r="M50" s="1" t="s">
        <v>608</v>
      </c>
      <c r="N50" s="1" t="s">
        <v>608</v>
      </c>
      <c r="O50" s="1" t="s">
        <v>608</v>
      </c>
      <c r="P50" s="1" t="s">
        <v>608</v>
      </c>
      <c r="Q50" s="1" t="s">
        <v>608</v>
      </c>
      <c r="R50" s="1" t="s">
        <v>608</v>
      </c>
      <c r="S50" s="1" t="s">
        <v>608</v>
      </c>
      <c r="T50" s="1" t="s">
        <v>608</v>
      </c>
      <c r="U50" s="1" t="s">
        <v>608</v>
      </c>
      <c r="V50" s="33" t="s">
        <v>479</v>
      </c>
      <c r="W50" s="1">
        <v>2024</v>
      </c>
      <c r="X50" s="1">
        <v>2025</v>
      </c>
      <c r="Y50" s="1" t="s">
        <v>608</v>
      </c>
      <c r="Z50" s="1">
        <v>2026</v>
      </c>
      <c r="AA50" s="1">
        <v>2027</v>
      </c>
      <c r="AB50" s="1" t="s">
        <v>608</v>
      </c>
      <c r="AC50" s="1">
        <v>2028</v>
      </c>
      <c r="AD50" s="1" t="s">
        <v>481</v>
      </c>
    </row>
    <row r="51" spans="1:30" ht="123.75" x14ac:dyDescent="0.2">
      <c r="A51" s="1" t="s">
        <v>16</v>
      </c>
      <c r="B51" s="1" t="s">
        <v>282</v>
      </c>
      <c r="C51" s="5" t="s">
        <v>192</v>
      </c>
      <c r="D51" s="1" t="s">
        <v>12</v>
      </c>
      <c r="E51" s="11">
        <v>16.8</v>
      </c>
      <c r="F51" s="1" t="s">
        <v>606</v>
      </c>
      <c r="G51" s="12">
        <v>229.84305308054985</v>
      </c>
      <c r="H51" s="1" t="s">
        <v>12</v>
      </c>
      <c r="I51" s="1" t="s">
        <v>164</v>
      </c>
      <c r="J51" s="1" t="s">
        <v>608</v>
      </c>
      <c r="K51" s="1" t="s">
        <v>608</v>
      </c>
      <c r="L51" s="1" t="s">
        <v>608</v>
      </c>
      <c r="M51" s="1" t="s">
        <v>608</v>
      </c>
      <c r="N51" s="1" t="s">
        <v>608</v>
      </c>
      <c r="O51" s="1" t="s">
        <v>608</v>
      </c>
      <c r="P51" s="1" t="s">
        <v>608</v>
      </c>
      <c r="Q51" s="1" t="s">
        <v>608</v>
      </c>
      <c r="R51" s="1" t="s">
        <v>608</v>
      </c>
      <c r="S51" s="1" t="s">
        <v>608</v>
      </c>
      <c r="T51" s="1" t="s">
        <v>608</v>
      </c>
      <c r="U51" s="1" t="s">
        <v>608</v>
      </c>
      <c r="V51" s="33" t="s">
        <v>479</v>
      </c>
      <c r="W51" s="1">
        <v>2020</v>
      </c>
      <c r="X51" s="1">
        <v>2022</v>
      </c>
      <c r="Y51" s="1" t="s">
        <v>608</v>
      </c>
      <c r="Z51" s="1">
        <v>2022</v>
      </c>
      <c r="AA51" s="1">
        <v>2023</v>
      </c>
      <c r="AB51" s="1" t="s">
        <v>608</v>
      </c>
      <c r="AC51" s="1">
        <v>2024</v>
      </c>
      <c r="AD51" s="1" t="s">
        <v>481</v>
      </c>
    </row>
    <row r="52" spans="1:30" ht="112.5" x14ac:dyDescent="0.2">
      <c r="A52" s="1" t="s">
        <v>16</v>
      </c>
      <c r="B52" s="1" t="s">
        <v>283</v>
      </c>
      <c r="C52" s="5" t="s">
        <v>193</v>
      </c>
      <c r="D52" s="1" t="s">
        <v>12</v>
      </c>
      <c r="E52" s="11">
        <v>23.7</v>
      </c>
      <c r="F52" s="1" t="s">
        <v>606</v>
      </c>
      <c r="G52" s="12">
        <v>425.34372818007262</v>
      </c>
      <c r="H52" s="1" t="s">
        <v>12</v>
      </c>
      <c r="I52" s="1" t="s">
        <v>164</v>
      </c>
      <c r="J52" s="1" t="s">
        <v>608</v>
      </c>
      <c r="K52" s="1" t="s">
        <v>608</v>
      </c>
      <c r="L52" s="1" t="s">
        <v>608</v>
      </c>
      <c r="M52" s="1" t="s">
        <v>608</v>
      </c>
      <c r="N52" s="1" t="s">
        <v>608</v>
      </c>
      <c r="O52" s="1" t="s">
        <v>608</v>
      </c>
      <c r="P52" s="1" t="s">
        <v>608</v>
      </c>
      <c r="Q52" s="1" t="s">
        <v>608</v>
      </c>
      <c r="R52" s="1" t="s">
        <v>608</v>
      </c>
      <c r="S52" s="1" t="s">
        <v>608</v>
      </c>
      <c r="T52" s="1" t="s">
        <v>608</v>
      </c>
      <c r="U52" s="1" t="s">
        <v>608</v>
      </c>
      <c r="V52" s="33" t="s">
        <v>479</v>
      </c>
      <c r="W52" s="1">
        <v>2021</v>
      </c>
      <c r="X52" s="1">
        <v>2023</v>
      </c>
      <c r="Y52" s="1" t="s">
        <v>608</v>
      </c>
      <c r="Z52" s="1">
        <v>2023</v>
      </c>
      <c r="AA52" s="1">
        <v>2024</v>
      </c>
      <c r="AB52" s="1" t="s">
        <v>608</v>
      </c>
      <c r="AC52" s="1">
        <v>2025</v>
      </c>
      <c r="AD52" s="1" t="s">
        <v>481</v>
      </c>
    </row>
    <row r="53" spans="1:30" ht="56.25" x14ac:dyDescent="0.2">
      <c r="A53" s="1" t="s">
        <v>16</v>
      </c>
      <c r="B53" s="1" t="s">
        <v>284</v>
      </c>
      <c r="C53" s="5" t="s">
        <v>194</v>
      </c>
      <c r="D53" s="1" t="s">
        <v>12</v>
      </c>
      <c r="E53" s="11">
        <v>1.9</v>
      </c>
      <c r="F53" s="1" t="s">
        <v>606</v>
      </c>
      <c r="G53" s="12">
        <v>36.179901977854108</v>
      </c>
      <c r="H53" s="1" t="s">
        <v>12</v>
      </c>
      <c r="I53" s="1" t="s">
        <v>164</v>
      </c>
      <c r="J53" s="1" t="s">
        <v>608</v>
      </c>
      <c r="K53" s="1" t="s">
        <v>608</v>
      </c>
      <c r="L53" s="1" t="s">
        <v>608</v>
      </c>
      <c r="M53" s="1" t="s">
        <v>608</v>
      </c>
      <c r="N53" s="1" t="s">
        <v>608</v>
      </c>
      <c r="O53" s="1" t="s">
        <v>608</v>
      </c>
      <c r="P53" s="1" t="s">
        <v>608</v>
      </c>
      <c r="Q53" s="1" t="s">
        <v>608</v>
      </c>
      <c r="R53" s="1" t="s">
        <v>608</v>
      </c>
      <c r="S53" s="1" t="s">
        <v>608</v>
      </c>
      <c r="T53" s="1" t="s">
        <v>608</v>
      </c>
      <c r="U53" s="1" t="s">
        <v>608</v>
      </c>
      <c r="V53" s="33" t="s">
        <v>479</v>
      </c>
      <c r="W53" s="1">
        <v>2021</v>
      </c>
      <c r="X53" s="1">
        <v>2022</v>
      </c>
      <c r="Y53" s="1" t="s">
        <v>608</v>
      </c>
      <c r="Z53" s="1">
        <v>2023</v>
      </c>
      <c r="AA53" s="1">
        <v>2024</v>
      </c>
      <c r="AB53" s="1" t="s">
        <v>608</v>
      </c>
      <c r="AC53" s="1">
        <v>2025</v>
      </c>
      <c r="AD53" s="1" t="s">
        <v>481</v>
      </c>
    </row>
    <row r="54" spans="1:30" ht="56.25" x14ac:dyDescent="0.2">
      <c r="A54" s="1" t="s">
        <v>16</v>
      </c>
      <c r="B54" s="1" t="s">
        <v>285</v>
      </c>
      <c r="C54" s="5" t="s">
        <v>195</v>
      </c>
      <c r="D54" s="1" t="s">
        <v>12</v>
      </c>
      <c r="E54" s="11">
        <v>1.34615</v>
      </c>
      <c r="F54" s="1" t="s">
        <v>606</v>
      </c>
      <c r="G54" s="12">
        <v>82.683854130407326</v>
      </c>
      <c r="H54" s="1" t="s">
        <v>12</v>
      </c>
      <c r="I54" s="1" t="s">
        <v>164</v>
      </c>
      <c r="J54" s="1" t="s">
        <v>608</v>
      </c>
      <c r="K54" s="1" t="s">
        <v>608</v>
      </c>
      <c r="L54" s="1" t="s">
        <v>608</v>
      </c>
      <c r="M54" s="1" t="s">
        <v>608</v>
      </c>
      <c r="N54" s="1" t="s">
        <v>608</v>
      </c>
      <c r="O54" s="1" t="s">
        <v>608</v>
      </c>
      <c r="P54" s="1" t="s">
        <v>608</v>
      </c>
      <c r="Q54" s="1" t="s">
        <v>608</v>
      </c>
      <c r="R54" s="1" t="s">
        <v>608</v>
      </c>
      <c r="S54" s="1" t="s">
        <v>608</v>
      </c>
      <c r="T54" s="1" t="s">
        <v>608</v>
      </c>
      <c r="U54" s="1" t="s">
        <v>608</v>
      </c>
      <c r="V54" s="33" t="s">
        <v>479</v>
      </c>
      <c r="W54" s="1">
        <v>2024</v>
      </c>
      <c r="X54" s="1">
        <v>2025</v>
      </c>
      <c r="Y54" s="1" t="s">
        <v>608</v>
      </c>
      <c r="Z54" s="1">
        <v>2026</v>
      </c>
      <c r="AA54" s="1">
        <v>2027</v>
      </c>
      <c r="AB54" s="1" t="s">
        <v>608</v>
      </c>
      <c r="AC54" s="1">
        <v>2028</v>
      </c>
      <c r="AD54" s="1" t="s">
        <v>481</v>
      </c>
    </row>
    <row r="55" spans="1:30" ht="56.25" x14ac:dyDescent="0.2">
      <c r="A55" s="1" t="s">
        <v>16</v>
      </c>
      <c r="B55" s="1" t="s">
        <v>286</v>
      </c>
      <c r="C55" s="5" t="s">
        <v>196</v>
      </c>
      <c r="D55" s="1" t="s">
        <v>12</v>
      </c>
      <c r="E55" s="11">
        <v>7.1</v>
      </c>
      <c r="F55" s="1" t="s">
        <v>606</v>
      </c>
      <c r="G55" s="12">
        <v>418.49206632863564</v>
      </c>
      <c r="H55" s="1" t="s">
        <v>12</v>
      </c>
      <c r="I55" s="1" t="s">
        <v>164</v>
      </c>
      <c r="J55" s="1" t="s">
        <v>608</v>
      </c>
      <c r="K55" s="1" t="s">
        <v>608</v>
      </c>
      <c r="L55" s="1" t="s">
        <v>608</v>
      </c>
      <c r="M55" s="1" t="s">
        <v>608</v>
      </c>
      <c r="N55" s="1" t="s">
        <v>608</v>
      </c>
      <c r="O55" s="1" t="s">
        <v>608</v>
      </c>
      <c r="P55" s="1" t="s">
        <v>608</v>
      </c>
      <c r="Q55" s="1" t="s">
        <v>608</v>
      </c>
      <c r="R55" s="1" t="s">
        <v>608</v>
      </c>
      <c r="S55" s="1" t="s">
        <v>608</v>
      </c>
      <c r="T55" s="1" t="s">
        <v>608</v>
      </c>
      <c r="U55" s="1" t="s">
        <v>608</v>
      </c>
      <c r="V55" s="33" t="s">
        <v>479</v>
      </c>
      <c r="W55" s="1">
        <v>2016</v>
      </c>
      <c r="X55" s="1">
        <v>2019</v>
      </c>
      <c r="Y55" s="1" t="s">
        <v>608</v>
      </c>
      <c r="Z55" s="1">
        <v>2020</v>
      </c>
      <c r="AA55" s="1">
        <v>2021</v>
      </c>
      <c r="AB55" s="1" t="s">
        <v>608</v>
      </c>
      <c r="AC55" s="1">
        <v>2022</v>
      </c>
      <c r="AD55" s="1" t="s">
        <v>481</v>
      </c>
    </row>
    <row r="56" spans="1:30" ht="90" x14ac:dyDescent="0.2">
      <c r="A56" s="1" t="s">
        <v>16</v>
      </c>
      <c r="B56" s="1" t="s">
        <v>287</v>
      </c>
      <c r="C56" s="5" t="s">
        <v>197</v>
      </c>
      <c r="D56" s="1" t="s">
        <v>12</v>
      </c>
      <c r="E56" s="11">
        <v>23.16</v>
      </c>
      <c r="F56" s="1" t="s">
        <v>606</v>
      </c>
      <c r="G56" s="12">
        <v>580.37534398783714</v>
      </c>
      <c r="H56" s="1" t="s">
        <v>12</v>
      </c>
      <c r="I56" s="1" t="s">
        <v>164</v>
      </c>
      <c r="J56" s="1" t="s">
        <v>608</v>
      </c>
      <c r="K56" s="1" t="s">
        <v>608</v>
      </c>
      <c r="L56" s="1" t="s">
        <v>608</v>
      </c>
      <c r="M56" s="1" t="s">
        <v>608</v>
      </c>
      <c r="N56" s="1" t="s">
        <v>608</v>
      </c>
      <c r="O56" s="1" t="s">
        <v>608</v>
      </c>
      <c r="P56" s="1" t="s">
        <v>608</v>
      </c>
      <c r="Q56" s="1" t="s">
        <v>608</v>
      </c>
      <c r="R56" s="1" t="s">
        <v>608</v>
      </c>
      <c r="S56" s="1" t="s">
        <v>608</v>
      </c>
      <c r="T56" s="1" t="s">
        <v>608</v>
      </c>
      <c r="U56" s="1" t="s">
        <v>608</v>
      </c>
      <c r="V56" s="33" t="s">
        <v>479</v>
      </c>
      <c r="W56" s="1">
        <v>2024</v>
      </c>
      <c r="X56" s="1">
        <v>2025</v>
      </c>
      <c r="Y56" s="1" t="s">
        <v>608</v>
      </c>
      <c r="Z56" s="1">
        <v>2026</v>
      </c>
      <c r="AA56" s="1">
        <v>2027</v>
      </c>
      <c r="AB56" s="1" t="s">
        <v>608</v>
      </c>
      <c r="AC56" s="1">
        <v>2028</v>
      </c>
      <c r="AD56" s="1" t="s">
        <v>481</v>
      </c>
    </row>
    <row r="57" spans="1:30" ht="56.25" x14ac:dyDescent="0.2">
      <c r="A57" s="1" t="s">
        <v>16</v>
      </c>
      <c r="B57" s="1" t="s">
        <v>288</v>
      </c>
      <c r="C57" s="5" t="s">
        <v>198</v>
      </c>
      <c r="D57" s="1" t="s">
        <v>12</v>
      </c>
      <c r="E57" s="11">
        <v>0.30445499999999998</v>
      </c>
      <c r="F57" s="1" t="s">
        <v>606</v>
      </c>
      <c r="G57" s="12">
        <v>42.049440814741999</v>
      </c>
      <c r="H57" s="1" t="s">
        <v>12</v>
      </c>
      <c r="I57" s="1" t="s">
        <v>164</v>
      </c>
      <c r="J57" s="1" t="s">
        <v>608</v>
      </c>
      <c r="K57" s="1" t="s">
        <v>608</v>
      </c>
      <c r="L57" s="1" t="s">
        <v>608</v>
      </c>
      <c r="M57" s="1" t="s">
        <v>608</v>
      </c>
      <c r="N57" s="1" t="s">
        <v>608</v>
      </c>
      <c r="O57" s="1" t="s">
        <v>608</v>
      </c>
      <c r="P57" s="1" t="s">
        <v>608</v>
      </c>
      <c r="Q57" s="1" t="s">
        <v>608</v>
      </c>
      <c r="R57" s="1" t="s">
        <v>608</v>
      </c>
      <c r="S57" s="1" t="s">
        <v>608</v>
      </c>
      <c r="T57" s="1" t="s">
        <v>608</v>
      </c>
      <c r="U57" s="1" t="s">
        <v>608</v>
      </c>
      <c r="V57" s="33" t="s">
        <v>479</v>
      </c>
      <c r="W57" s="1">
        <v>2024</v>
      </c>
      <c r="X57" s="1">
        <v>2025</v>
      </c>
      <c r="Y57" s="1" t="s">
        <v>608</v>
      </c>
      <c r="Z57" s="1">
        <v>2026</v>
      </c>
      <c r="AA57" s="1">
        <v>2027</v>
      </c>
      <c r="AB57" s="1" t="s">
        <v>608</v>
      </c>
      <c r="AC57" s="1">
        <v>2028</v>
      </c>
      <c r="AD57" s="1" t="s">
        <v>481</v>
      </c>
    </row>
    <row r="58" spans="1:30" ht="101.25" x14ac:dyDescent="0.2">
      <c r="A58" s="1" t="s">
        <v>16</v>
      </c>
      <c r="B58" s="1" t="s">
        <v>289</v>
      </c>
      <c r="C58" s="5" t="s">
        <v>199</v>
      </c>
      <c r="D58" s="1" t="s">
        <v>12</v>
      </c>
      <c r="E58" s="11">
        <v>30</v>
      </c>
      <c r="F58" s="1" t="s">
        <v>606</v>
      </c>
      <c r="G58" s="12">
        <v>1016.5886176660928</v>
      </c>
      <c r="H58" s="1" t="s">
        <v>12</v>
      </c>
      <c r="I58" s="1" t="s">
        <v>164</v>
      </c>
      <c r="J58" s="1" t="s">
        <v>608</v>
      </c>
      <c r="K58" s="1" t="s">
        <v>608</v>
      </c>
      <c r="L58" s="1" t="s">
        <v>608</v>
      </c>
      <c r="M58" s="1" t="s">
        <v>608</v>
      </c>
      <c r="N58" s="1" t="s">
        <v>608</v>
      </c>
      <c r="O58" s="1" t="s">
        <v>608</v>
      </c>
      <c r="P58" s="1" t="s">
        <v>608</v>
      </c>
      <c r="Q58" s="1" t="s">
        <v>608</v>
      </c>
      <c r="R58" s="1" t="s">
        <v>608</v>
      </c>
      <c r="S58" s="1" t="s">
        <v>608</v>
      </c>
      <c r="T58" s="1" t="s">
        <v>608</v>
      </c>
      <c r="U58" s="1" t="s">
        <v>608</v>
      </c>
      <c r="V58" s="33" t="s">
        <v>479</v>
      </c>
      <c r="W58" s="1">
        <v>2021</v>
      </c>
      <c r="X58" s="1">
        <v>2023</v>
      </c>
      <c r="Y58" s="1" t="s">
        <v>608</v>
      </c>
      <c r="Z58" s="1">
        <v>2023</v>
      </c>
      <c r="AA58" s="40">
        <v>2025</v>
      </c>
      <c r="AB58" s="1" t="s">
        <v>608</v>
      </c>
      <c r="AC58" s="40">
        <v>2026</v>
      </c>
      <c r="AD58" s="1" t="s">
        <v>481</v>
      </c>
    </row>
    <row r="59" spans="1:30" ht="33.75" x14ac:dyDescent="0.2">
      <c r="A59" s="1" t="s">
        <v>16</v>
      </c>
      <c r="B59" s="1" t="s">
        <v>290</v>
      </c>
      <c r="C59" s="5" t="s">
        <v>200</v>
      </c>
      <c r="D59" s="1" t="s">
        <v>12</v>
      </c>
      <c r="E59" s="11">
        <v>1</v>
      </c>
      <c r="F59" s="1" t="s">
        <v>606</v>
      </c>
      <c r="G59" s="12">
        <v>5.9383777216376803</v>
      </c>
      <c r="H59" s="1" t="s">
        <v>12</v>
      </c>
      <c r="I59" s="1" t="s">
        <v>164</v>
      </c>
      <c r="J59" s="1" t="s">
        <v>608</v>
      </c>
      <c r="K59" s="1" t="s">
        <v>608</v>
      </c>
      <c r="L59" s="1" t="s">
        <v>608</v>
      </c>
      <c r="M59" s="1" t="s">
        <v>608</v>
      </c>
      <c r="N59" s="1" t="s">
        <v>608</v>
      </c>
      <c r="O59" s="1" t="s">
        <v>608</v>
      </c>
      <c r="P59" s="1" t="s">
        <v>608</v>
      </c>
      <c r="Q59" s="1" t="s">
        <v>608</v>
      </c>
      <c r="R59" s="1" t="s">
        <v>608</v>
      </c>
      <c r="S59" s="1" t="s">
        <v>608</v>
      </c>
      <c r="T59" s="1" t="s">
        <v>608</v>
      </c>
      <c r="U59" s="1" t="s">
        <v>608</v>
      </c>
      <c r="V59" s="33" t="s">
        <v>479</v>
      </c>
      <c r="W59" s="1">
        <v>2021</v>
      </c>
      <c r="X59" s="1">
        <v>2023</v>
      </c>
      <c r="Y59" s="1" t="s">
        <v>608</v>
      </c>
      <c r="Z59" s="1">
        <v>2023</v>
      </c>
      <c r="AA59" s="1">
        <v>2025</v>
      </c>
      <c r="AB59" s="1" t="s">
        <v>608</v>
      </c>
      <c r="AC59" s="1">
        <v>2026</v>
      </c>
      <c r="AD59" s="1" t="s">
        <v>481</v>
      </c>
    </row>
    <row r="60" spans="1:30" ht="33.75" x14ac:dyDescent="0.2">
      <c r="A60" s="1" t="s">
        <v>16</v>
      </c>
      <c r="B60" s="1" t="s">
        <v>291</v>
      </c>
      <c r="C60" s="5" t="s">
        <v>201</v>
      </c>
      <c r="D60" s="1" t="s">
        <v>12</v>
      </c>
      <c r="E60" s="11">
        <v>1</v>
      </c>
      <c r="F60" s="1" t="s">
        <v>606</v>
      </c>
      <c r="G60" s="12">
        <v>46.917983408910054</v>
      </c>
      <c r="H60" s="1" t="s">
        <v>12</v>
      </c>
      <c r="I60" s="1" t="s">
        <v>164</v>
      </c>
      <c r="J60" s="1" t="s">
        <v>608</v>
      </c>
      <c r="K60" s="1" t="s">
        <v>608</v>
      </c>
      <c r="L60" s="1" t="s">
        <v>608</v>
      </c>
      <c r="M60" s="1" t="s">
        <v>608</v>
      </c>
      <c r="N60" s="1" t="s">
        <v>608</v>
      </c>
      <c r="O60" s="1" t="s">
        <v>608</v>
      </c>
      <c r="P60" s="1" t="s">
        <v>608</v>
      </c>
      <c r="Q60" s="1" t="s">
        <v>608</v>
      </c>
      <c r="R60" s="1" t="s">
        <v>608</v>
      </c>
      <c r="S60" s="1" t="s">
        <v>608</v>
      </c>
      <c r="T60" s="1" t="s">
        <v>608</v>
      </c>
      <c r="U60" s="1" t="s">
        <v>608</v>
      </c>
      <c r="V60" s="33" t="s">
        <v>479</v>
      </c>
      <c r="W60" s="1">
        <v>2021</v>
      </c>
      <c r="X60" s="1">
        <v>2023</v>
      </c>
      <c r="Y60" s="1" t="s">
        <v>608</v>
      </c>
      <c r="Z60" s="1">
        <v>2023</v>
      </c>
      <c r="AA60" s="1">
        <v>2025</v>
      </c>
      <c r="AB60" s="1" t="s">
        <v>608</v>
      </c>
      <c r="AC60" s="1">
        <v>2026</v>
      </c>
      <c r="AD60" s="1" t="s">
        <v>481</v>
      </c>
    </row>
    <row r="61" spans="1:30" ht="33.75" x14ac:dyDescent="0.2">
      <c r="A61" s="1" t="s">
        <v>16</v>
      </c>
      <c r="B61" s="1" t="s">
        <v>292</v>
      </c>
      <c r="C61" s="5" t="s">
        <v>202</v>
      </c>
      <c r="D61" s="1" t="s">
        <v>12</v>
      </c>
      <c r="E61" s="11">
        <v>1</v>
      </c>
      <c r="F61" s="1" t="s">
        <v>606</v>
      </c>
      <c r="G61" s="12">
        <v>78.509720548966754</v>
      </c>
      <c r="H61" s="1" t="s">
        <v>12</v>
      </c>
      <c r="I61" s="1" t="s">
        <v>164</v>
      </c>
      <c r="J61" s="1" t="s">
        <v>608</v>
      </c>
      <c r="K61" s="1" t="s">
        <v>608</v>
      </c>
      <c r="L61" s="1" t="s">
        <v>608</v>
      </c>
      <c r="M61" s="1" t="s">
        <v>608</v>
      </c>
      <c r="N61" s="1" t="s">
        <v>608</v>
      </c>
      <c r="O61" s="1" t="s">
        <v>608</v>
      </c>
      <c r="P61" s="1" t="s">
        <v>608</v>
      </c>
      <c r="Q61" s="1" t="s">
        <v>608</v>
      </c>
      <c r="R61" s="1" t="s">
        <v>608</v>
      </c>
      <c r="S61" s="1" t="s">
        <v>608</v>
      </c>
      <c r="T61" s="1" t="s">
        <v>608</v>
      </c>
      <c r="U61" s="1" t="s">
        <v>608</v>
      </c>
      <c r="V61" s="33" t="s">
        <v>479</v>
      </c>
      <c r="W61" s="1">
        <v>2021</v>
      </c>
      <c r="X61" s="1">
        <v>2023</v>
      </c>
      <c r="Y61" s="1" t="s">
        <v>608</v>
      </c>
      <c r="Z61" s="1">
        <v>2023</v>
      </c>
      <c r="AA61" s="1">
        <v>2025</v>
      </c>
      <c r="AB61" s="1" t="s">
        <v>608</v>
      </c>
      <c r="AC61" s="1">
        <v>2026</v>
      </c>
      <c r="AD61" s="1" t="s">
        <v>481</v>
      </c>
    </row>
    <row r="62" spans="1:30" ht="33.75" x14ac:dyDescent="0.2">
      <c r="A62" s="1" t="s">
        <v>16</v>
      </c>
      <c r="B62" s="1" t="s">
        <v>293</v>
      </c>
      <c r="C62" s="5" t="s">
        <v>203</v>
      </c>
      <c r="D62" s="1" t="s">
        <v>12</v>
      </c>
      <c r="E62" s="11">
        <v>3</v>
      </c>
      <c r="F62" s="1" t="s">
        <v>606</v>
      </c>
      <c r="G62" s="12">
        <v>95.89697156167145</v>
      </c>
      <c r="H62" s="1" t="s">
        <v>12</v>
      </c>
      <c r="I62" s="1" t="s">
        <v>164</v>
      </c>
      <c r="J62" s="1" t="s">
        <v>608</v>
      </c>
      <c r="K62" s="1" t="s">
        <v>608</v>
      </c>
      <c r="L62" s="1" t="s">
        <v>608</v>
      </c>
      <c r="M62" s="1" t="s">
        <v>608</v>
      </c>
      <c r="N62" s="1" t="s">
        <v>608</v>
      </c>
      <c r="O62" s="1" t="s">
        <v>608</v>
      </c>
      <c r="P62" s="1" t="s">
        <v>608</v>
      </c>
      <c r="Q62" s="1" t="s">
        <v>608</v>
      </c>
      <c r="R62" s="1" t="s">
        <v>608</v>
      </c>
      <c r="S62" s="1" t="s">
        <v>608</v>
      </c>
      <c r="T62" s="1" t="s">
        <v>608</v>
      </c>
      <c r="U62" s="1" t="s">
        <v>608</v>
      </c>
      <c r="V62" s="33" t="s">
        <v>479</v>
      </c>
      <c r="W62" s="1">
        <v>2021</v>
      </c>
      <c r="X62" s="1">
        <v>2023</v>
      </c>
      <c r="Y62" s="1" t="s">
        <v>608</v>
      </c>
      <c r="Z62" s="1">
        <v>2023</v>
      </c>
      <c r="AA62" s="40">
        <v>2026</v>
      </c>
      <c r="AB62" s="1" t="s">
        <v>608</v>
      </c>
      <c r="AC62" s="40">
        <v>2027</v>
      </c>
      <c r="AD62" s="1" t="s">
        <v>481</v>
      </c>
    </row>
    <row r="63" spans="1:30" ht="33.75" x14ac:dyDescent="0.2">
      <c r="A63" s="1" t="s">
        <v>16</v>
      </c>
      <c r="B63" s="1" t="s">
        <v>294</v>
      </c>
      <c r="C63" s="5" t="s">
        <v>204</v>
      </c>
      <c r="D63" s="1" t="s">
        <v>12</v>
      </c>
      <c r="E63" s="11">
        <v>1</v>
      </c>
      <c r="F63" s="1" t="s">
        <v>606</v>
      </c>
      <c r="G63" s="12">
        <v>22.00385329754894</v>
      </c>
      <c r="H63" s="1" t="s">
        <v>12</v>
      </c>
      <c r="I63" s="1" t="s">
        <v>164</v>
      </c>
      <c r="J63" s="1" t="s">
        <v>608</v>
      </c>
      <c r="K63" s="1" t="s">
        <v>608</v>
      </c>
      <c r="L63" s="1" t="s">
        <v>608</v>
      </c>
      <c r="M63" s="1" t="s">
        <v>608</v>
      </c>
      <c r="N63" s="1" t="s">
        <v>608</v>
      </c>
      <c r="O63" s="1" t="s">
        <v>608</v>
      </c>
      <c r="P63" s="1" t="s">
        <v>608</v>
      </c>
      <c r="Q63" s="1" t="s">
        <v>608</v>
      </c>
      <c r="R63" s="1" t="s">
        <v>608</v>
      </c>
      <c r="S63" s="1" t="s">
        <v>608</v>
      </c>
      <c r="T63" s="1" t="s">
        <v>608</v>
      </c>
      <c r="U63" s="1" t="s">
        <v>608</v>
      </c>
      <c r="V63" s="33" t="s">
        <v>479</v>
      </c>
      <c r="W63" s="1">
        <v>2021</v>
      </c>
      <c r="X63" s="1">
        <v>2023</v>
      </c>
      <c r="Y63" s="1" t="s">
        <v>608</v>
      </c>
      <c r="Z63" s="1">
        <v>2023</v>
      </c>
      <c r="AA63" s="1">
        <v>2025</v>
      </c>
      <c r="AB63" s="1" t="s">
        <v>608</v>
      </c>
      <c r="AC63" s="1">
        <v>2026</v>
      </c>
      <c r="AD63" s="1" t="s">
        <v>481</v>
      </c>
    </row>
    <row r="64" spans="1:30" ht="33.75" x14ac:dyDescent="0.2">
      <c r="A64" s="1" t="s">
        <v>16</v>
      </c>
      <c r="B64" s="1" t="s">
        <v>295</v>
      </c>
      <c r="C64" s="5" t="s">
        <v>205</v>
      </c>
      <c r="D64" s="1" t="s">
        <v>12</v>
      </c>
      <c r="E64" s="11">
        <v>1</v>
      </c>
      <c r="F64" s="1" t="s">
        <v>606</v>
      </c>
      <c r="G64" s="12">
        <v>45.9058528357358</v>
      </c>
      <c r="H64" s="1" t="s">
        <v>12</v>
      </c>
      <c r="I64" s="1" t="s">
        <v>164</v>
      </c>
      <c r="J64" s="1" t="s">
        <v>608</v>
      </c>
      <c r="K64" s="1" t="s">
        <v>608</v>
      </c>
      <c r="L64" s="1" t="s">
        <v>608</v>
      </c>
      <c r="M64" s="1" t="s">
        <v>608</v>
      </c>
      <c r="N64" s="1" t="s">
        <v>608</v>
      </c>
      <c r="O64" s="1" t="s">
        <v>608</v>
      </c>
      <c r="P64" s="1" t="s">
        <v>608</v>
      </c>
      <c r="Q64" s="1" t="s">
        <v>608</v>
      </c>
      <c r="R64" s="1" t="s">
        <v>608</v>
      </c>
      <c r="S64" s="1" t="s">
        <v>608</v>
      </c>
      <c r="T64" s="1" t="s">
        <v>608</v>
      </c>
      <c r="U64" s="1" t="s">
        <v>608</v>
      </c>
      <c r="V64" s="33" t="s">
        <v>479</v>
      </c>
      <c r="W64" s="1">
        <v>2021</v>
      </c>
      <c r="X64" s="1">
        <v>2023</v>
      </c>
      <c r="Y64" s="1" t="s">
        <v>608</v>
      </c>
      <c r="Z64" s="1">
        <v>2023</v>
      </c>
      <c r="AA64" s="1">
        <v>2025</v>
      </c>
      <c r="AB64" s="1" t="s">
        <v>608</v>
      </c>
      <c r="AC64" s="1">
        <v>2026</v>
      </c>
      <c r="AD64" s="1" t="s">
        <v>481</v>
      </c>
    </row>
    <row r="65" spans="1:30" ht="56.25" x14ac:dyDescent="0.2">
      <c r="A65" s="1" t="s">
        <v>16</v>
      </c>
      <c r="B65" s="1" t="s">
        <v>296</v>
      </c>
      <c r="C65" s="5" t="s">
        <v>206</v>
      </c>
      <c r="D65" s="1" t="s">
        <v>12</v>
      </c>
      <c r="E65" s="11">
        <v>0.1</v>
      </c>
      <c r="F65" s="1" t="s">
        <v>606</v>
      </c>
      <c r="G65" s="12">
        <v>57.770968621199479</v>
      </c>
      <c r="H65" s="1" t="s">
        <v>12</v>
      </c>
      <c r="I65" s="1" t="s">
        <v>164</v>
      </c>
      <c r="J65" s="1" t="s">
        <v>608</v>
      </c>
      <c r="K65" s="1" t="s">
        <v>608</v>
      </c>
      <c r="L65" s="1" t="s">
        <v>608</v>
      </c>
      <c r="M65" s="1" t="s">
        <v>608</v>
      </c>
      <c r="N65" s="1" t="s">
        <v>608</v>
      </c>
      <c r="O65" s="1" t="s">
        <v>608</v>
      </c>
      <c r="P65" s="1" t="s">
        <v>608</v>
      </c>
      <c r="Q65" s="1" t="s">
        <v>608</v>
      </c>
      <c r="R65" s="1" t="s">
        <v>608</v>
      </c>
      <c r="S65" s="1" t="s">
        <v>608</v>
      </c>
      <c r="T65" s="1" t="s">
        <v>608</v>
      </c>
      <c r="U65" s="1" t="s">
        <v>608</v>
      </c>
      <c r="V65" s="33" t="s">
        <v>479</v>
      </c>
      <c r="W65" s="1">
        <v>2024</v>
      </c>
      <c r="X65" s="1">
        <v>2025</v>
      </c>
      <c r="Y65" s="1" t="s">
        <v>608</v>
      </c>
      <c r="Z65" s="1">
        <v>2026</v>
      </c>
      <c r="AA65" s="1">
        <v>2027</v>
      </c>
      <c r="AB65" s="1" t="s">
        <v>608</v>
      </c>
      <c r="AC65" s="1">
        <v>2028</v>
      </c>
      <c r="AD65" s="1" t="s">
        <v>481</v>
      </c>
    </row>
    <row r="66" spans="1:30" ht="45" x14ac:dyDescent="0.2">
      <c r="A66" s="1" t="s">
        <v>16</v>
      </c>
      <c r="B66" s="1" t="s">
        <v>297</v>
      </c>
      <c r="C66" s="5" t="s">
        <v>207</v>
      </c>
      <c r="D66" s="1" t="s">
        <v>12</v>
      </c>
      <c r="E66" s="11">
        <v>2.60121</v>
      </c>
      <c r="F66" s="1" t="s">
        <v>606</v>
      </c>
      <c r="G66" s="12">
        <v>160.37967723246362</v>
      </c>
      <c r="H66" s="1" t="s">
        <v>12</v>
      </c>
      <c r="I66" s="1" t="s">
        <v>164</v>
      </c>
      <c r="J66" s="1" t="s">
        <v>608</v>
      </c>
      <c r="K66" s="1" t="s">
        <v>608</v>
      </c>
      <c r="L66" s="1" t="s">
        <v>608</v>
      </c>
      <c r="M66" s="1" t="s">
        <v>608</v>
      </c>
      <c r="N66" s="1" t="s">
        <v>608</v>
      </c>
      <c r="O66" s="1" t="s">
        <v>608</v>
      </c>
      <c r="P66" s="1" t="s">
        <v>608</v>
      </c>
      <c r="Q66" s="1" t="s">
        <v>608</v>
      </c>
      <c r="R66" s="1" t="s">
        <v>608</v>
      </c>
      <c r="S66" s="1" t="s">
        <v>608</v>
      </c>
      <c r="T66" s="1" t="s">
        <v>608</v>
      </c>
      <c r="U66" s="1" t="s">
        <v>608</v>
      </c>
      <c r="V66" s="33" t="s">
        <v>479</v>
      </c>
      <c r="W66" s="1">
        <v>2024</v>
      </c>
      <c r="X66" s="1">
        <v>2025</v>
      </c>
      <c r="Y66" s="1" t="s">
        <v>608</v>
      </c>
      <c r="Z66" s="1">
        <v>2026</v>
      </c>
      <c r="AA66" s="1">
        <v>2027</v>
      </c>
      <c r="AB66" s="1" t="s">
        <v>608</v>
      </c>
      <c r="AC66" s="1">
        <v>2028</v>
      </c>
      <c r="AD66" s="1" t="s">
        <v>481</v>
      </c>
    </row>
    <row r="67" spans="1:30" ht="56.25" x14ac:dyDescent="0.2">
      <c r="A67" s="1" t="s">
        <v>16</v>
      </c>
      <c r="B67" s="1" t="s">
        <v>298</v>
      </c>
      <c r="C67" s="5" t="s">
        <v>208</v>
      </c>
      <c r="D67" s="1" t="s">
        <v>12</v>
      </c>
      <c r="E67" s="11">
        <v>0.48569299999999999</v>
      </c>
      <c r="F67" s="1" t="s">
        <v>606</v>
      </c>
      <c r="G67" s="12">
        <v>62.844092646603009</v>
      </c>
      <c r="H67" s="1" t="s">
        <v>12</v>
      </c>
      <c r="I67" s="1" t="s">
        <v>164</v>
      </c>
      <c r="J67" s="1" t="s">
        <v>608</v>
      </c>
      <c r="K67" s="1" t="s">
        <v>608</v>
      </c>
      <c r="L67" s="1" t="s">
        <v>608</v>
      </c>
      <c r="M67" s="1" t="s">
        <v>608</v>
      </c>
      <c r="N67" s="1" t="s">
        <v>608</v>
      </c>
      <c r="O67" s="1" t="s">
        <v>608</v>
      </c>
      <c r="P67" s="1" t="s">
        <v>608</v>
      </c>
      <c r="Q67" s="1" t="s">
        <v>608</v>
      </c>
      <c r="R67" s="1" t="s">
        <v>608</v>
      </c>
      <c r="S67" s="1" t="s">
        <v>608</v>
      </c>
      <c r="T67" s="1" t="s">
        <v>608</v>
      </c>
      <c r="U67" s="1" t="s">
        <v>608</v>
      </c>
      <c r="V67" s="33" t="s">
        <v>479</v>
      </c>
      <c r="W67" s="1">
        <v>2024</v>
      </c>
      <c r="X67" s="1">
        <v>2025</v>
      </c>
      <c r="Y67" s="1" t="s">
        <v>608</v>
      </c>
      <c r="Z67" s="1">
        <v>2026</v>
      </c>
      <c r="AA67" s="1">
        <v>2027</v>
      </c>
      <c r="AB67" s="1" t="s">
        <v>608</v>
      </c>
      <c r="AC67" s="1">
        <v>2028</v>
      </c>
      <c r="AD67" s="1" t="s">
        <v>481</v>
      </c>
    </row>
    <row r="68" spans="1:30" ht="90" x14ac:dyDescent="0.2">
      <c r="A68" s="1" t="s">
        <v>16</v>
      </c>
      <c r="B68" s="1" t="s">
        <v>299</v>
      </c>
      <c r="C68" s="5" t="s">
        <v>209</v>
      </c>
      <c r="D68" s="1" t="s">
        <v>12</v>
      </c>
      <c r="E68" s="11">
        <v>6.1</v>
      </c>
      <c r="F68" s="1" t="s">
        <v>606</v>
      </c>
      <c r="G68" s="12">
        <v>203.89514832138045</v>
      </c>
      <c r="H68" s="1" t="s">
        <v>12</v>
      </c>
      <c r="I68" s="1" t="s">
        <v>164</v>
      </c>
      <c r="J68" s="1" t="s">
        <v>608</v>
      </c>
      <c r="K68" s="1" t="s">
        <v>608</v>
      </c>
      <c r="L68" s="1" t="s">
        <v>608</v>
      </c>
      <c r="M68" s="1" t="s">
        <v>608</v>
      </c>
      <c r="N68" s="1" t="s">
        <v>608</v>
      </c>
      <c r="O68" s="1" t="s">
        <v>608</v>
      </c>
      <c r="P68" s="1" t="s">
        <v>608</v>
      </c>
      <c r="Q68" s="1" t="s">
        <v>608</v>
      </c>
      <c r="R68" s="1" t="s">
        <v>608</v>
      </c>
      <c r="S68" s="1" t="s">
        <v>608</v>
      </c>
      <c r="T68" s="1" t="s">
        <v>608</v>
      </c>
      <c r="U68" s="1" t="s">
        <v>608</v>
      </c>
      <c r="V68" s="33" t="s">
        <v>479</v>
      </c>
      <c r="W68" s="1">
        <v>2021</v>
      </c>
      <c r="X68" s="1">
        <v>2023</v>
      </c>
      <c r="Y68" s="1" t="s">
        <v>608</v>
      </c>
      <c r="Z68" s="1">
        <v>2023</v>
      </c>
      <c r="AA68" s="1">
        <v>2024</v>
      </c>
      <c r="AB68" s="1" t="s">
        <v>608</v>
      </c>
      <c r="AC68" s="1">
        <v>2025</v>
      </c>
      <c r="AD68" s="1" t="s">
        <v>481</v>
      </c>
    </row>
    <row r="69" spans="1:30" ht="56.25" x14ac:dyDescent="0.2">
      <c r="A69" s="1" t="s">
        <v>16</v>
      </c>
      <c r="B69" s="1" t="s">
        <v>300</v>
      </c>
      <c r="C69" s="5" t="s">
        <v>210</v>
      </c>
      <c r="D69" s="1" t="s">
        <v>12</v>
      </c>
      <c r="E69" s="11">
        <v>22.2</v>
      </c>
      <c r="F69" s="1" t="s">
        <v>606</v>
      </c>
      <c r="G69" s="12">
        <v>2009.3811578673897</v>
      </c>
      <c r="H69" s="1" t="s">
        <v>12</v>
      </c>
      <c r="I69" s="1" t="s">
        <v>164</v>
      </c>
      <c r="J69" s="1" t="s">
        <v>608</v>
      </c>
      <c r="K69" s="1" t="s">
        <v>608</v>
      </c>
      <c r="L69" s="1" t="s">
        <v>608</v>
      </c>
      <c r="M69" s="1" t="s">
        <v>608</v>
      </c>
      <c r="N69" s="1" t="s">
        <v>608</v>
      </c>
      <c r="O69" s="1" t="s">
        <v>608</v>
      </c>
      <c r="P69" s="1" t="s">
        <v>608</v>
      </c>
      <c r="Q69" s="1" t="s">
        <v>608</v>
      </c>
      <c r="R69" s="1" t="s">
        <v>608</v>
      </c>
      <c r="S69" s="1" t="s">
        <v>608</v>
      </c>
      <c r="T69" s="1" t="s">
        <v>608</v>
      </c>
      <c r="U69" s="1" t="s">
        <v>608</v>
      </c>
      <c r="V69" s="33" t="s">
        <v>479</v>
      </c>
      <c r="W69" s="1">
        <v>2021</v>
      </c>
      <c r="X69" s="1">
        <v>2023</v>
      </c>
      <c r="Y69" s="1" t="s">
        <v>608</v>
      </c>
      <c r="Z69" s="1">
        <v>2023</v>
      </c>
      <c r="AA69" s="1">
        <v>2024</v>
      </c>
      <c r="AB69" s="1" t="s">
        <v>608</v>
      </c>
      <c r="AC69" s="1">
        <v>2025</v>
      </c>
      <c r="AD69" s="1" t="s">
        <v>481</v>
      </c>
    </row>
    <row r="70" spans="1:30" ht="56.25" x14ac:dyDescent="0.2">
      <c r="A70" s="1" t="s">
        <v>16</v>
      </c>
      <c r="B70" s="1" t="s">
        <v>301</v>
      </c>
      <c r="C70" s="5" t="s">
        <v>211</v>
      </c>
      <c r="D70" s="1" t="s">
        <v>12</v>
      </c>
      <c r="E70" s="11">
        <v>6.9</v>
      </c>
      <c r="F70" s="1" t="s">
        <v>606</v>
      </c>
      <c r="G70" s="12">
        <v>153.91489291298322</v>
      </c>
      <c r="H70" s="1" t="s">
        <v>12</v>
      </c>
      <c r="I70" s="1" t="s">
        <v>164</v>
      </c>
      <c r="J70" s="1" t="s">
        <v>608</v>
      </c>
      <c r="K70" s="1" t="s">
        <v>608</v>
      </c>
      <c r="L70" s="1" t="s">
        <v>608</v>
      </c>
      <c r="M70" s="1" t="s">
        <v>608</v>
      </c>
      <c r="N70" s="1" t="s">
        <v>608</v>
      </c>
      <c r="O70" s="1" t="s">
        <v>608</v>
      </c>
      <c r="P70" s="1" t="s">
        <v>608</v>
      </c>
      <c r="Q70" s="1" t="s">
        <v>608</v>
      </c>
      <c r="R70" s="1" t="s">
        <v>608</v>
      </c>
      <c r="S70" s="1" t="s">
        <v>608</v>
      </c>
      <c r="T70" s="1" t="s">
        <v>608</v>
      </c>
      <c r="U70" s="1" t="s">
        <v>608</v>
      </c>
      <c r="V70" s="33" t="s">
        <v>479</v>
      </c>
      <c r="W70" s="1">
        <v>2021</v>
      </c>
      <c r="X70" s="1">
        <v>2023</v>
      </c>
      <c r="Y70" s="1" t="s">
        <v>608</v>
      </c>
      <c r="Z70" s="1">
        <v>2023</v>
      </c>
      <c r="AA70" s="40">
        <v>2026</v>
      </c>
      <c r="AB70" s="1" t="s">
        <v>608</v>
      </c>
      <c r="AC70" s="40">
        <v>2027</v>
      </c>
      <c r="AD70" s="1" t="s">
        <v>481</v>
      </c>
    </row>
    <row r="71" spans="1:30" ht="45" x14ac:dyDescent="0.2">
      <c r="A71" s="1" t="s">
        <v>16</v>
      </c>
      <c r="B71" s="1" t="s">
        <v>302</v>
      </c>
      <c r="C71" s="5" t="s">
        <v>212</v>
      </c>
      <c r="D71" s="1" t="s">
        <v>12</v>
      </c>
      <c r="E71" s="11">
        <v>0.2</v>
      </c>
      <c r="F71" s="1" t="s">
        <v>606</v>
      </c>
      <c r="G71" s="12">
        <v>167.11165533703922</v>
      </c>
      <c r="H71" s="1" t="s">
        <v>12</v>
      </c>
      <c r="I71" s="1" t="s">
        <v>164</v>
      </c>
      <c r="J71" s="1" t="s">
        <v>608</v>
      </c>
      <c r="K71" s="1" t="s">
        <v>608</v>
      </c>
      <c r="L71" s="1" t="s">
        <v>608</v>
      </c>
      <c r="M71" s="1" t="s">
        <v>608</v>
      </c>
      <c r="N71" s="1" t="s">
        <v>608</v>
      </c>
      <c r="O71" s="1" t="s">
        <v>608</v>
      </c>
      <c r="P71" s="1" t="s">
        <v>608</v>
      </c>
      <c r="Q71" s="1" t="s">
        <v>608</v>
      </c>
      <c r="R71" s="1" t="s">
        <v>608</v>
      </c>
      <c r="S71" s="1" t="s">
        <v>608</v>
      </c>
      <c r="T71" s="1" t="s">
        <v>608</v>
      </c>
      <c r="U71" s="1" t="s">
        <v>608</v>
      </c>
      <c r="V71" s="33" t="s">
        <v>479</v>
      </c>
      <c r="W71" s="1">
        <v>2024</v>
      </c>
      <c r="X71" s="1">
        <v>2025</v>
      </c>
      <c r="Y71" s="1" t="s">
        <v>608</v>
      </c>
      <c r="Z71" s="1">
        <v>2026</v>
      </c>
      <c r="AA71" s="1">
        <v>2027</v>
      </c>
      <c r="AB71" s="1" t="s">
        <v>608</v>
      </c>
      <c r="AC71" s="1">
        <v>2028</v>
      </c>
      <c r="AD71" s="1" t="s">
        <v>481</v>
      </c>
    </row>
    <row r="72" spans="1:30" ht="56.25" x14ac:dyDescent="0.2">
      <c r="A72" s="1" t="s">
        <v>16</v>
      </c>
      <c r="B72" s="1" t="s">
        <v>303</v>
      </c>
      <c r="C72" s="5" t="s">
        <v>213</v>
      </c>
      <c r="D72" s="1" t="s">
        <v>12</v>
      </c>
      <c r="E72" s="11">
        <v>0.9</v>
      </c>
      <c r="F72" s="1" t="s">
        <v>606</v>
      </c>
      <c r="G72" s="12">
        <v>240.98593850124644</v>
      </c>
      <c r="H72" s="1" t="s">
        <v>12</v>
      </c>
      <c r="I72" s="1" t="s">
        <v>164</v>
      </c>
      <c r="J72" s="1" t="s">
        <v>608</v>
      </c>
      <c r="K72" s="1" t="s">
        <v>608</v>
      </c>
      <c r="L72" s="1" t="s">
        <v>608</v>
      </c>
      <c r="M72" s="1" t="s">
        <v>608</v>
      </c>
      <c r="N72" s="1" t="s">
        <v>608</v>
      </c>
      <c r="O72" s="1" t="s">
        <v>608</v>
      </c>
      <c r="P72" s="1" t="s">
        <v>608</v>
      </c>
      <c r="Q72" s="1" t="s">
        <v>608</v>
      </c>
      <c r="R72" s="1" t="s">
        <v>608</v>
      </c>
      <c r="S72" s="1" t="s">
        <v>608</v>
      </c>
      <c r="T72" s="1" t="s">
        <v>608</v>
      </c>
      <c r="U72" s="1" t="s">
        <v>608</v>
      </c>
      <c r="V72" s="33" t="s">
        <v>479</v>
      </c>
      <c r="W72" s="1">
        <v>2024</v>
      </c>
      <c r="X72" s="1">
        <v>2025</v>
      </c>
      <c r="Y72" s="1" t="s">
        <v>608</v>
      </c>
      <c r="Z72" s="1">
        <v>2026</v>
      </c>
      <c r="AA72" s="1">
        <v>2027</v>
      </c>
      <c r="AB72" s="1" t="s">
        <v>608</v>
      </c>
      <c r="AC72" s="1">
        <v>2028</v>
      </c>
      <c r="AD72" s="1" t="s">
        <v>481</v>
      </c>
    </row>
    <row r="73" spans="1:30" ht="56.25" x14ac:dyDescent="0.2">
      <c r="A73" s="1" t="s">
        <v>16</v>
      </c>
      <c r="B73" s="1" t="s">
        <v>304</v>
      </c>
      <c r="C73" s="5" t="s">
        <v>214</v>
      </c>
      <c r="D73" s="1" t="s">
        <v>12</v>
      </c>
      <c r="E73" s="11">
        <v>0.56381300000000001</v>
      </c>
      <c r="F73" s="1" t="s">
        <v>606</v>
      </c>
      <c r="G73" s="12">
        <v>61.826901675559661</v>
      </c>
      <c r="H73" s="1" t="s">
        <v>12</v>
      </c>
      <c r="I73" s="1" t="s">
        <v>164</v>
      </c>
      <c r="J73" s="1" t="s">
        <v>608</v>
      </c>
      <c r="K73" s="1" t="s">
        <v>608</v>
      </c>
      <c r="L73" s="1" t="s">
        <v>608</v>
      </c>
      <c r="M73" s="1" t="s">
        <v>608</v>
      </c>
      <c r="N73" s="1" t="s">
        <v>608</v>
      </c>
      <c r="O73" s="1" t="s">
        <v>608</v>
      </c>
      <c r="P73" s="1" t="s">
        <v>608</v>
      </c>
      <c r="Q73" s="1" t="s">
        <v>608</v>
      </c>
      <c r="R73" s="1" t="s">
        <v>608</v>
      </c>
      <c r="S73" s="1" t="s">
        <v>608</v>
      </c>
      <c r="T73" s="1" t="s">
        <v>608</v>
      </c>
      <c r="U73" s="1" t="s">
        <v>608</v>
      </c>
      <c r="V73" s="33" t="s">
        <v>479</v>
      </c>
      <c r="W73" s="1">
        <v>2024</v>
      </c>
      <c r="X73" s="1">
        <v>2025</v>
      </c>
      <c r="Y73" s="1" t="s">
        <v>608</v>
      </c>
      <c r="Z73" s="1">
        <v>2026</v>
      </c>
      <c r="AA73" s="1">
        <v>2027</v>
      </c>
      <c r="AB73" s="1" t="s">
        <v>608</v>
      </c>
      <c r="AC73" s="1">
        <v>2028</v>
      </c>
      <c r="AD73" s="1" t="s">
        <v>481</v>
      </c>
    </row>
    <row r="74" spans="1:30" ht="112.5" x14ac:dyDescent="0.2">
      <c r="A74" s="1" t="s">
        <v>16</v>
      </c>
      <c r="B74" s="1" t="s">
        <v>305</v>
      </c>
      <c r="C74" s="5" t="s">
        <v>215</v>
      </c>
      <c r="D74" s="1" t="s">
        <v>12</v>
      </c>
      <c r="E74" s="11">
        <v>38.299999999999997</v>
      </c>
      <c r="F74" s="1" t="s">
        <v>606</v>
      </c>
      <c r="G74" s="12">
        <v>3977.4960949622473</v>
      </c>
      <c r="H74" s="1" t="s">
        <v>12</v>
      </c>
      <c r="I74" s="1" t="s">
        <v>164</v>
      </c>
      <c r="J74" s="1" t="s">
        <v>608</v>
      </c>
      <c r="K74" s="1" t="s">
        <v>608</v>
      </c>
      <c r="L74" s="1" t="s">
        <v>608</v>
      </c>
      <c r="M74" s="1" t="s">
        <v>608</v>
      </c>
      <c r="N74" s="1" t="s">
        <v>608</v>
      </c>
      <c r="O74" s="1" t="s">
        <v>608</v>
      </c>
      <c r="P74" s="1" t="s">
        <v>608</v>
      </c>
      <c r="Q74" s="1" t="s">
        <v>608</v>
      </c>
      <c r="R74" s="1" t="s">
        <v>608</v>
      </c>
      <c r="S74" s="1" t="s">
        <v>608</v>
      </c>
      <c r="T74" s="1" t="s">
        <v>608</v>
      </c>
      <c r="U74" s="1" t="s">
        <v>608</v>
      </c>
      <c r="V74" s="33" t="s">
        <v>479</v>
      </c>
      <c r="W74" s="1">
        <v>2016</v>
      </c>
      <c r="X74" s="1">
        <v>2020</v>
      </c>
      <c r="Y74" s="1" t="s">
        <v>608</v>
      </c>
      <c r="Z74" s="1">
        <v>2021</v>
      </c>
      <c r="AA74" s="1">
        <v>2022</v>
      </c>
      <c r="AB74" s="1" t="s">
        <v>608</v>
      </c>
      <c r="AC74" s="40">
        <v>2024</v>
      </c>
      <c r="AD74" s="1" t="s">
        <v>481</v>
      </c>
    </row>
    <row r="75" spans="1:30" ht="78.75" x14ac:dyDescent="0.2">
      <c r="A75" s="1" t="s">
        <v>16</v>
      </c>
      <c r="B75" s="1" t="s">
        <v>306</v>
      </c>
      <c r="C75" s="5" t="s">
        <v>216</v>
      </c>
      <c r="D75" s="1" t="s">
        <v>12</v>
      </c>
      <c r="E75" s="11">
        <v>34.5</v>
      </c>
      <c r="F75" s="1" t="s">
        <v>606</v>
      </c>
      <c r="G75" s="12">
        <v>8152.6357655912398</v>
      </c>
      <c r="H75" s="1" t="s">
        <v>12</v>
      </c>
      <c r="I75" s="1" t="s">
        <v>164</v>
      </c>
      <c r="J75" s="1" t="s">
        <v>608</v>
      </c>
      <c r="K75" s="1" t="s">
        <v>608</v>
      </c>
      <c r="L75" s="1" t="s">
        <v>608</v>
      </c>
      <c r="M75" s="1" t="s">
        <v>608</v>
      </c>
      <c r="N75" s="1" t="s">
        <v>608</v>
      </c>
      <c r="O75" s="1" t="s">
        <v>608</v>
      </c>
      <c r="P75" s="1" t="s">
        <v>608</v>
      </c>
      <c r="Q75" s="1" t="s">
        <v>608</v>
      </c>
      <c r="R75" s="1" t="s">
        <v>608</v>
      </c>
      <c r="S75" s="1" t="s">
        <v>608</v>
      </c>
      <c r="T75" s="1" t="s">
        <v>608</v>
      </c>
      <c r="U75" s="1" t="s">
        <v>608</v>
      </c>
      <c r="V75" s="33" t="s">
        <v>479</v>
      </c>
      <c r="W75" s="1">
        <v>2017</v>
      </c>
      <c r="X75" s="1">
        <v>2021</v>
      </c>
      <c r="Y75" s="1" t="s">
        <v>608</v>
      </c>
      <c r="Z75" s="1">
        <v>2022</v>
      </c>
      <c r="AA75" s="1">
        <v>2024</v>
      </c>
      <c r="AB75" s="1" t="s">
        <v>608</v>
      </c>
      <c r="AC75" s="1">
        <v>2025</v>
      </c>
      <c r="AD75" s="1" t="s">
        <v>481</v>
      </c>
    </row>
    <row r="76" spans="1:30" ht="67.5" x14ac:dyDescent="0.2">
      <c r="A76" s="1" t="s">
        <v>16</v>
      </c>
      <c r="B76" s="1" t="s">
        <v>307</v>
      </c>
      <c r="C76" s="5" t="s">
        <v>217</v>
      </c>
      <c r="D76" s="1" t="s">
        <v>12</v>
      </c>
      <c r="E76" s="11">
        <v>15.9</v>
      </c>
      <c r="F76" s="1" t="s">
        <v>606</v>
      </c>
      <c r="G76" s="12">
        <v>913.15812184163451</v>
      </c>
      <c r="H76" s="1" t="s">
        <v>12</v>
      </c>
      <c r="I76" s="1" t="s">
        <v>164</v>
      </c>
      <c r="J76" s="1" t="s">
        <v>608</v>
      </c>
      <c r="K76" s="1" t="s">
        <v>608</v>
      </c>
      <c r="L76" s="1" t="s">
        <v>608</v>
      </c>
      <c r="M76" s="1" t="s">
        <v>608</v>
      </c>
      <c r="N76" s="1" t="s">
        <v>608</v>
      </c>
      <c r="O76" s="1" t="s">
        <v>608</v>
      </c>
      <c r="P76" s="1" t="s">
        <v>608</v>
      </c>
      <c r="Q76" s="1" t="s">
        <v>608</v>
      </c>
      <c r="R76" s="1" t="s">
        <v>608</v>
      </c>
      <c r="S76" s="1" t="s">
        <v>608</v>
      </c>
      <c r="T76" s="1" t="s">
        <v>608</v>
      </c>
      <c r="U76" s="1" t="s">
        <v>608</v>
      </c>
      <c r="V76" s="33" t="s">
        <v>479</v>
      </c>
      <c r="W76" s="1">
        <v>2020</v>
      </c>
      <c r="X76" s="1">
        <v>2021</v>
      </c>
      <c r="Y76" s="1" t="s">
        <v>608</v>
      </c>
      <c r="Z76" s="1">
        <v>2021</v>
      </c>
      <c r="AA76" s="1">
        <v>2023</v>
      </c>
      <c r="AB76" s="1" t="s">
        <v>608</v>
      </c>
      <c r="AC76" s="1">
        <v>2024</v>
      </c>
      <c r="AD76" s="1" t="s">
        <v>481</v>
      </c>
    </row>
    <row r="77" spans="1:30" ht="78.75" x14ac:dyDescent="0.2">
      <c r="A77" s="1" t="s">
        <v>16</v>
      </c>
      <c r="B77" s="1" t="s">
        <v>308</v>
      </c>
      <c r="C77" s="5" t="s">
        <v>218</v>
      </c>
      <c r="D77" s="1" t="s">
        <v>12</v>
      </c>
      <c r="E77" s="11">
        <v>28</v>
      </c>
      <c r="F77" s="1" t="s">
        <v>606</v>
      </c>
      <c r="G77" s="12">
        <v>1053.3772995299862</v>
      </c>
      <c r="H77" s="1" t="s">
        <v>12</v>
      </c>
      <c r="I77" s="1" t="s">
        <v>164</v>
      </c>
      <c r="J77" s="1" t="s">
        <v>608</v>
      </c>
      <c r="K77" s="1" t="s">
        <v>608</v>
      </c>
      <c r="L77" s="1" t="s">
        <v>608</v>
      </c>
      <c r="M77" s="1" t="s">
        <v>608</v>
      </c>
      <c r="N77" s="1" t="s">
        <v>608</v>
      </c>
      <c r="O77" s="1" t="s">
        <v>608</v>
      </c>
      <c r="P77" s="1" t="s">
        <v>608</v>
      </c>
      <c r="Q77" s="1" t="s">
        <v>608</v>
      </c>
      <c r="R77" s="1" t="s">
        <v>608</v>
      </c>
      <c r="S77" s="1" t="s">
        <v>608</v>
      </c>
      <c r="T77" s="1" t="s">
        <v>608</v>
      </c>
      <c r="U77" s="1" t="s">
        <v>608</v>
      </c>
      <c r="V77" s="33" t="s">
        <v>479</v>
      </c>
      <c r="W77" s="1">
        <v>2021</v>
      </c>
      <c r="X77" s="1">
        <v>2023</v>
      </c>
      <c r="Y77" s="1" t="s">
        <v>608</v>
      </c>
      <c r="Z77" s="1">
        <v>2023</v>
      </c>
      <c r="AA77" s="1">
        <v>2025</v>
      </c>
      <c r="AB77" s="1" t="s">
        <v>608</v>
      </c>
      <c r="AC77" s="1">
        <v>2026</v>
      </c>
      <c r="AD77" s="1" t="s">
        <v>481</v>
      </c>
    </row>
    <row r="78" spans="1:30" ht="67.5" x14ac:dyDescent="0.2">
      <c r="A78" s="1" t="s">
        <v>16</v>
      </c>
      <c r="B78" s="1" t="s">
        <v>309</v>
      </c>
      <c r="C78" s="5" t="s">
        <v>219</v>
      </c>
      <c r="D78" s="1" t="s">
        <v>12</v>
      </c>
      <c r="E78" s="11">
        <v>15.5</v>
      </c>
      <c r="F78" s="1" t="s">
        <v>606</v>
      </c>
      <c r="G78" s="12">
        <v>19.094681545234536</v>
      </c>
      <c r="H78" s="1" t="s">
        <v>12</v>
      </c>
      <c r="I78" s="1" t="s">
        <v>164</v>
      </c>
      <c r="J78" s="1" t="s">
        <v>608</v>
      </c>
      <c r="K78" s="1" t="s">
        <v>608</v>
      </c>
      <c r="L78" s="1" t="s">
        <v>608</v>
      </c>
      <c r="M78" s="1" t="s">
        <v>608</v>
      </c>
      <c r="N78" s="1" t="s">
        <v>608</v>
      </c>
      <c r="O78" s="1" t="s">
        <v>608</v>
      </c>
      <c r="P78" s="1" t="s">
        <v>608</v>
      </c>
      <c r="Q78" s="1" t="s">
        <v>608</v>
      </c>
      <c r="R78" s="1" t="s">
        <v>608</v>
      </c>
      <c r="S78" s="1" t="s">
        <v>608</v>
      </c>
      <c r="T78" s="1" t="s">
        <v>608</v>
      </c>
      <c r="U78" s="1" t="s">
        <v>608</v>
      </c>
      <c r="V78" s="33" t="s">
        <v>479</v>
      </c>
      <c r="W78" s="1">
        <v>2020</v>
      </c>
      <c r="X78" s="1">
        <v>2021</v>
      </c>
      <c r="Y78" s="1" t="s">
        <v>608</v>
      </c>
      <c r="Z78" s="1">
        <v>2022</v>
      </c>
      <c r="AA78" s="1">
        <v>2023</v>
      </c>
      <c r="AB78" s="1" t="s">
        <v>608</v>
      </c>
      <c r="AC78" s="1">
        <v>2024</v>
      </c>
      <c r="AD78" s="1" t="s">
        <v>481</v>
      </c>
    </row>
    <row r="79" spans="1:30" ht="67.5" x14ac:dyDescent="0.2">
      <c r="A79" s="1" t="s">
        <v>16</v>
      </c>
      <c r="B79" s="1" t="s">
        <v>310</v>
      </c>
      <c r="C79" s="5" t="s">
        <v>220</v>
      </c>
      <c r="D79" s="1" t="s">
        <v>12</v>
      </c>
      <c r="E79" s="11">
        <v>14.1</v>
      </c>
      <c r="F79" s="1" t="s">
        <v>606</v>
      </c>
      <c r="G79" s="12">
        <v>54.757947500647404</v>
      </c>
      <c r="H79" s="1" t="s">
        <v>12</v>
      </c>
      <c r="I79" s="1" t="s">
        <v>164</v>
      </c>
      <c r="J79" s="1" t="s">
        <v>608</v>
      </c>
      <c r="K79" s="1" t="s">
        <v>608</v>
      </c>
      <c r="L79" s="1" t="s">
        <v>608</v>
      </c>
      <c r="M79" s="1" t="s">
        <v>608</v>
      </c>
      <c r="N79" s="1" t="s">
        <v>608</v>
      </c>
      <c r="O79" s="1" t="s">
        <v>608</v>
      </c>
      <c r="P79" s="1" t="s">
        <v>608</v>
      </c>
      <c r="Q79" s="1" t="s">
        <v>608</v>
      </c>
      <c r="R79" s="1" t="s">
        <v>608</v>
      </c>
      <c r="S79" s="1" t="s">
        <v>608</v>
      </c>
      <c r="T79" s="1" t="s">
        <v>608</v>
      </c>
      <c r="U79" s="1" t="s">
        <v>608</v>
      </c>
      <c r="V79" s="33" t="s">
        <v>479</v>
      </c>
      <c r="W79" s="1">
        <v>2020</v>
      </c>
      <c r="X79" s="1">
        <v>2021</v>
      </c>
      <c r="Y79" s="1" t="s">
        <v>608</v>
      </c>
      <c r="Z79" s="1">
        <v>2021</v>
      </c>
      <c r="AA79" s="1">
        <v>2022</v>
      </c>
      <c r="AB79" s="1" t="s">
        <v>608</v>
      </c>
      <c r="AC79" s="1">
        <v>2023</v>
      </c>
      <c r="AD79" s="1" t="s">
        <v>481</v>
      </c>
    </row>
    <row r="80" spans="1:30" ht="45" x14ac:dyDescent="0.2">
      <c r="A80" s="1" t="s">
        <v>16</v>
      </c>
      <c r="B80" s="1" t="s">
        <v>311</v>
      </c>
      <c r="C80" s="5" t="s">
        <v>221</v>
      </c>
      <c r="D80" s="1" t="s">
        <v>12</v>
      </c>
      <c r="E80" s="11">
        <v>10.5</v>
      </c>
      <c r="F80" s="1" t="s">
        <v>606</v>
      </c>
      <c r="G80" s="12">
        <v>74.10776086363974</v>
      </c>
      <c r="H80" s="1" t="s">
        <v>12</v>
      </c>
      <c r="I80" s="1" t="s">
        <v>164</v>
      </c>
      <c r="J80" s="1" t="s">
        <v>608</v>
      </c>
      <c r="K80" s="1" t="s">
        <v>608</v>
      </c>
      <c r="L80" s="1" t="s">
        <v>608</v>
      </c>
      <c r="M80" s="1" t="s">
        <v>608</v>
      </c>
      <c r="N80" s="1" t="s">
        <v>608</v>
      </c>
      <c r="O80" s="1" t="s">
        <v>608</v>
      </c>
      <c r="P80" s="1" t="s">
        <v>608</v>
      </c>
      <c r="Q80" s="1" t="s">
        <v>608</v>
      </c>
      <c r="R80" s="1" t="s">
        <v>608</v>
      </c>
      <c r="S80" s="1" t="s">
        <v>608</v>
      </c>
      <c r="T80" s="1" t="s">
        <v>608</v>
      </c>
      <c r="U80" s="1" t="s">
        <v>608</v>
      </c>
      <c r="V80" s="33" t="s">
        <v>479</v>
      </c>
      <c r="W80" s="1">
        <v>2020</v>
      </c>
      <c r="X80" s="1">
        <v>2021</v>
      </c>
      <c r="Y80" s="1" t="s">
        <v>608</v>
      </c>
      <c r="Z80" s="1">
        <v>2021</v>
      </c>
      <c r="AA80" s="1">
        <v>2022</v>
      </c>
      <c r="AB80" s="1" t="s">
        <v>608</v>
      </c>
      <c r="AC80" s="1">
        <v>2023</v>
      </c>
      <c r="AD80" s="1" t="s">
        <v>481</v>
      </c>
    </row>
    <row r="81" spans="1:30" ht="56.25" x14ac:dyDescent="0.2">
      <c r="A81" s="1" t="s">
        <v>16</v>
      </c>
      <c r="B81" s="1" t="s">
        <v>312</v>
      </c>
      <c r="C81" s="5" t="s">
        <v>222</v>
      </c>
      <c r="D81" s="1" t="s">
        <v>12</v>
      </c>
      <c r="E81" s="11">
        <v>0.01</v>
      </c>
      <c r="F81" s="1" t="s">
        <v>606</v>
      </c>
      <c r="G81" s="12">
        <v>328.48933562679127</v>
      </c>
      <c r="H81" s="1" t="s">
        <v>12</v>
      </c>
      <c r="I81" s="1" t="s">
        <v>164</v>
      </c>
      <c r="J81" s="1" t="s">
        <v>608</v>
      </c>
      <c r="K81" s="1" t="s">
        <v>608</v>
      </c>
      <c r="L81" s="1" t="s">
        <v>608</v>
      </c>
      <c r="M81" s="1" t="s">
        <v>608</v>
      </c>
      <c r="N81" s="1" t="s">
        <v>608</v>
      </c>
      <c r="O81" s="1" t="s">
        <v>608</v>
      </c>
      <c r="P81" s="1" t="s">
        <v>608</v>
      </c>
      <c r="Q81" s="1" t="s">
        <v>608</v>
      </c>
      <c r="R81" s="1" t="s">
        <v>608</v>
      </c>
      <c r="S81" s="1" t="s">
        <v>608</v>
      </c>
      <c r="T81" s="1" t="s">
        <v>608</v>
      </c>
      <c r="U81" s="1" t="s">
        <v>608</v>
      </c>
      <c r="V81" s="33" t="s">
        <v>479</v>
      </c>
      <c r="W81" s="1">
        <v>2020</v>
      </c>
      <c r="X81" s="1">
        <v>2021</v>
      </c>
      <c r="Y81" s="1" t="s">
        <v>608</v>
      </c>
      <c r="Z81" s="1">
        <v>2021</v>
      </c>
      <c r="AA81" s="1">
        <v>2022</v>
      </c>
      <c r="AB81" s="1" t="s">
        <v>608</v>
      </c>
      <c r="AC81" s="1">
        <v>2023</v>
      </c>
      <c r="AD81" s="1" t="s">
        <v>481</v>
      </c>
    </row>
    <row r="82" spans="1:30" ht="67.5" x14ac:dyDescent="0.2">
      <c r="A82" s="1" t="s">
        <v>16</v>
      </c>
      <c r="B82" s="1" t="s">
        <v>313</v>
      </c>
      <c r="C82" s="5" t="s">
        <v>223</v>
      </c>
      <c r="D82" s="1" t="s">
        <v>12</v>
      </c>
      <c r="E82" s="41">
        <v>2.5</v>
      </c>
      <c r="F82" s="1" t="s">
        <v>606</v>
      </c>
      <c r="G82" s="12">
        <v>54.174108665612465</v>
      </c>
      <c r="H82" s="1" t="s">
        <v>12</v>
      </c>
      <c r="I82" s="1" t="s">
        <v>164</v>
      </c>
      <c r="J82" s="1" t="s">
        <v>608</v>
      </c>
      <c r="K82" s="1" t="s">
        <v>608</v>
      </c>
      <c r="L82" s="1" t="s">
        <v>608</v>
      </c>
      <c r="M82" s="1" t="s">
        <v>608</v>
      </c>
      <c r="N82" s="1" t="s">
        <v>608</v>
      </c>
      <c r="O82" s="1" t="s">
        <v>608</v>
      </c>
      <c r="P82" s="1" t="s">
        <v>608</v>
      </c>
      <c r="Q82" s="1" t="s">
        <v>608</v>
      </c>
      <c r="R82" s="1" t="s">
        <v>608</v>
      </c>
      <c r="S82" s="1" t="s">
        <v>608</v>
      </c>
      <c r="T82" s="1" t="s">
        <v>608</v>
      </c>
      <c r="U82" s="1" t="s">
        <v>608</v>
      </c>
      <c r="V82" s="33" t="s">
        <v>479</v>
      </c>
      <c r="W82" s="1">
        <v>2020</v>
      </c>
      <c r="X82" s="1">
        <v>2021</v>
      </c>
      <c r="Y82" s="1" t="s">
        <v>608</v>
      </c>
      <c r="Z82" s="1">
        <v>2021</v>
      </c>
      <c r="AA82" s="1">
        <v>2022</v>
      </c>
      <c r="AB82" s="1" t="s">
        <v>608</v>
      </c>
      <c r="AC82" s="1">
        <v>2023</v>
      </c>
      <c r="AD82" s="1" t="s">
        <v>481</v>
      </c>
    </row>
    <row r="83" spans="1:30" ht="101.25" x14ac:dyDescent="0.2">
      <c r="A83" s="1" t="s">
        <v>16</v>
      </c>
      <c r="B83" s="1" t="s">
        <v>314</v>
      </c>
      <c r="C83" s="5" t="s">
        <v>224</v>
      </c>
      <c r="D83" s="1" t="s">
        <v>12</v>
      </c>
      <c r="E83" s="11">
        <v>26.2</v>
      </c>
      <c r="F83" s="1" t="s">
        <v>606</v>
      </c>
      <c r="G83" s="12">
        <v>962.91923560002033</v>
      </c>
      <c r="H83" s="1" t="s">
        <v>12</v>
      </c>
      <c r="I83" s="1" t="s">
        <v>164</v>
      </c>
      <c r="J83" s="1" t="s">
        <v>608</v>
      </c>
      <c r="K83" s="1" t="s">
        <v>608</v>
      </c>
      <c r="L83" s="1" t="s">
        <v>608</v>
      </c>
      <c r="M83" s="1" t="s">
        <v>608</v>
      </c>
      <c r="N83" s="1" t="s">
        <v>608</v>
      </c>
      <c r="O83" s="1" t="s">
        <v>608</v>
      </c>
      <c r="P83" s="1" t="s">
        <v>608</v>
      </c>
      <c r="Q83" s="1" t="s">
        <v>608</v>
      </c>
      <c r="R83" s="1" t="s">
        <v>608</v>
      </c>
      <c r="S83" s="1" t="s">
        <v>608</v>
      </c>
      <c r="T83" s="1" t="s">
        <v>608</v>
      </c>
      <c r="U83" s="1" t="s">
        <v>608</v>
      </c>
      <c r="V83" s="33" t="s">
        <v>479</v>
      </c>
      <c r="W83" s="1">
        <v>2020</v>
      </c>
      <c r="X83" s="1">
        <v>2021</v>
      </c>
      <c r="Y83" s="1" t="s">
        <v>608</v>
      </c>
      <c r="Z83" s="1">
        <v>2022</v>
      </c>
      <c r="AA83" s="1">
        <v>2023</v>
      </c>
      <c r="AB83" s="1" t="s">
        <v>608</v>
      </c>
      <c r="AC83" s="1">
        <v>2024</v>
      </c>
      <c r="AD83" s="1" t="s">
        <v>481</v>
      </c>
    </row>
    <row r="84" spans="1:30" ht="45" x14ac:dyDescent="0.2">
      <c r="A84" s="1" t="s">
        <v>16</v>
      </c>
      <c r="B84" s="1" t="s">
        <v>315</v>
      </c>
      <c r="C84" s="5" t="s">
        <v>225</v>
      </c>
      <c r="D84" s="1" t="s">
        <v>12</v>
      </c>
      <c r="E84" s="11">
        <v>2.9</v>
      </c>
      <c r="F84" s="1" t="s">
        <v>606</v>
      </c>
      <c r="G84" s="12">
        <v>141.3729258513396</v>
      </c>
      <c r="H84" s="1" t="s">
        <v>12</v>
      </c>
      <c r="I84" s="1" t="s">
        <v>164</v>
      </c>
      <c r="J84" s="1" t="s">
        <v>608</v>
      </c>
      <c r="K84" s="1" t="s">
        <v>608</v>
      </c>
      <c r="L84" s="1" t="s">
        <v>608</v>
      </c>
      <c r="M84" s="1" t="s">
        <v>608</v>
      </c>
      <c r="N84" s="1" t="s">
        <v>608</v>
      </c>
      <c r="O84" s="1" t="s">
        <v>608</v>
      </c>
      <c r="P84" s="1" t="s">
        <v>608</v>
      </c>
      <c r="Q84" s="1" t="s">
        <v>608</v>
      </c>
      <c r="R84" s="1" t="s">
        <v>608</v>
      </c>
      <c r="S84" s="1" t="s">
        <v>608</v>
      </c>
      <c r="T84" s="1" t="s">
        <v>608</v>
      </c>
      <c r="U84" s="1" t="s">
        <v>608</v>
      </c>
      <c r="V84" s="33" t="s">
        <v>479</v>
      </c>
      <c r="W84" s="1">
        <v>2020</v>
      </c>
      <c r="X84" s="1">
        <v>2021</v>
      </c>
      <c r="Y84" s="1" t="s">
        <v>608</v>
      </c>
      <c r="Z84" s="1">
        <v>2021</v>
      </c>
      <c r="AA84" s="1">
        <v>2022</v>
      </c>
      <c r="AB84" s="1" t="s">
        <v>608</v>
      </c>
      <c r="AC84" s="40">
        <v>2024</v>
      </c>
      <c r="AD84" s="1" t="s">
        <v>481</v>
      </c>
    </row>
    <row r="85" spans="1:30" ht="78.75" x14ac:dyDescent="0.2">
      <c r="A85" s="1" t="s">
        <v>16</v>
      </c>
      <c r="B85" s="1" t="s">
        <v>316</v>
      </c>
      <c r="C85" s="5" t="s">
        <v>226</v>
      </c>
      <c r="D85" s="1" t="s">
        <v>12</v>
      </c>
      <c r="E85" s="11">
        <v>5.8</v>
      </c>
      <c r="F85" s="1" t="s">
        <v>606</v>
      </c>
      <c r="G85" s="12">
        <v>154.58273319459659</v>
      </c>
      <c r="H85" s="1" t="s">
        <v>12</v>
      </c>
      <c r="I85" s="1" t="s">
        <v>164</v>
      </c>
      <c r="J85" s="1" t="s">
        <v>608</v>
      </c>
      <c r="K85" s="1" t="s">
        <v>608</v>
      </c>
      <c r="L85" s="1" t="s">
        <v>608</v>
      </c>
      <c r="M85" s="1" t="s">
        <v>608</v>
      </c>
      <c r="N85" s="1" t="s">
        <v>608</v>
      </c>
      <c r="O85" s="1" t="s">
        <v>608</v>
      </c>
      <c r="P85" s="1" t="s">
        <v>608</v>
      </c>
      <c r="Q85" s="1" t="s">
        <v>608</v>
      </c>
      <c r="R85" s="1" t="s">
        <v>608</v>
      </c>
      <c r="S85" s="1" t="s">
        <v>608</v>
      </c>
      <c r="T85" s="1" t="s">
        <v>608</v>
      </c>
      <c r="U85" s="1" t="s">
        <v>608</v>
      </c>
      <c r="V85" s="33" t="s">
        <v>479</v>
      </c>
      <c r="W85" s="1">
        <v>2020</v>
      </c>
      <c r="X85" s="1">
        <v>2021</v>
      </c>
      <c r="Y85" s="1" t="s">
        <v>608</v>
      </c>
      <c r="Z85" s="1">
        <v>2021</v>
      </c>
      <c r="AA85" s="1">
        <v>2022</v>
      </c>
      <c r="AB85" s="1" t="s">
        <v>608</v>
      </c>
      <c r="AC85" s="40">
        <v>2024</v>
      </c>
      <c r="AD85" s="1" t="s">
        <v>481</v>
      </c>
    </row>
    <row r="86" spans="1:30" ht="45" x14ac:dyDescent="0.2">
      <c r="A86" s="1" t="s">
        <v>16</v>
      </c>
      <c r="B86" s="1" t="s">
        <v>317</v>
      </c>
      <c r="C86" s="5" t="s">
        <v>227</v>
      </c>
      <c r="D86" s="1" t="s">
        <v>12</v>
      </c>
      <c r="E86" s="11">
        <v>5.89</v>
      </c>
      <c r="F86" s="1" t="s">
        <v>606</v>
      </c>
      <c r="G86" s="12">
        <v>148.83983015519101</v>
      </c>
      <c r="H86" s="1" t="s">
        <v>12</v>
      </c>
      <c r="I86" s="1" t="s">
        <v>164</v>
      </c>
      <c r="J86" s="1" t="s">
        <v>608</v>
      </c>
      <c r="K86" s="1" t="s">
        <v>608</v>
      </c>
      <c r="L86" s="1" t="s">
        <v>608</v>
      </c>
      <c r="M86" s="1" t="s">
        <v>608</v>
      </c>
      <c r="N86" s="1" t="s">
        <v>608</v>
      </c>
      <c r="O86" s="1" t="s">
        <v>608</v>
      </c>
      <c r="P86" s="1" t="s">
        <v>608</v>
      </c>
      <c r="Q86" s="1" t="s">
        <v>608</v>
      </c>
      <c r="R86" s="1" t="s">
        <v>608</v>
      </c>
      <c r="S86" s="1" t="s">
        <v>608</v>
      </c>
      <c r="T86" s="1" t="s">
        <v>608</v>
      </c>
      <c r="U86" s="1" t="s">
        <v>608</v>
      </c>
      <c r="V86" s="33" t="s">
        <v>479</v>
      </c>
      <c r="W86" s="1">
        <v>2021</v>
      </c>
      <c r="X86" s="1">
        <v>2023</v>
      </c>
      <c r="Y86" s="1" t="s">
        <v>608</v>
      </c>
      <c r="Z86" s="1">
        <v>2023</v>
      </c>
      <c r="AA86" s="1">
        <v>2024</v>
      </c>
      <c r="AB86" s="1" t="s">
        <v>608</v>
      </c>
      <c r="AC86" s="1">
        <v>2025</v>
      </c>
      <c r="AD86" s="1" t="s">
        <v>481</v>
      </c>
    </row>
    <row r="87" spans="1:30" ht="56.25" x14ac:dyDescent="0.2">
      <c r="A87" s="1" t="s">
        <v>16</v>
      </c>
      <c r="B87" s="1" t="s">
        <v>318</v>
      </c>
      <c r="C87" s="5" t="s">
        <v>228</v>
      </c>
      <c r="D87" s="1" t="s">
        <v>12</v>
      </c>
      <c r="E87" s="11">
        <v>12.8</v>
      </c>
      <c r="F87" s="1" t="s">
        <v>606</v>
      </c>
      <c r="G87" s="12">
        <v>68.723498239296063</v>
      </c>
      <c r="H87" s="1" t="s">
        <v>12</v>
      </c>
      <c r="I87" s="1" t="s">
        <v>164</v>
      </c>
      <c r="J87" s="1" t="s">
        <v>608</v>
      </c>
      <c r="K87" s="1" t="s">
        <v>608</v>
      </c>
      <c r="L87" s="1" t="s">
        <v>608</v>
      </c>
      <c r="M87" s="1" t="s">
        <v>608</v>
      </c>
      <c r="N87" s="1" t="s">
        <v>608</v>
      </c>
      <c r="O87" s="1" t="s">
        <v>608</v>
      </c>
      <c r="P87" s="1" t="s">
        <v>608</v>
      </c>
      <c r="Q87" s="1" t="s">
        <v>608</v>
      </c>
      <c r="R87" s="1" t="s">
        <v>608</v>
      </c>
      <c r="S87" s="1" t="s">
        <v>608</v>
      </c>
      <c r="T87" s="1" t="s">
        <v>608</v>
      </c>
      <c r="U87" s="1" t="s">
        <v>608</v>
      </c>
      <c r="V87" s="33" t="s">
        <v>479</v>
      </c>
      <c r="W87" s="1">
        <v>2021</v>
      </c>
      <c r="X87" s="1">
        <v>2023</v>
      </c>
      <c r="Y87" s="1" t="s">
        <v>608</v>
      </c>
      <c r="Z87" s="1">
        <v>2023</v>
      </c>
      <c r="AA87" s="40">
        <v>2026</v>
      </c>
      <c r="AB87" s="1" t="s">
        <v>608</v>
      </c>
      <c r="AC87" s="40">
        <v>2027</v>
      </c>
      <c r="AD87" s="1" t="s">
        <v>481</v>
      </c>
    </row>
    <row r="88" spans="1:30" ht="67.5" x14ac:dyDescent="0.2">
      <c r="A88" s="1" t="s">
        <v>16</v>
      </c>
      <c r="B88" s="1" t="s">
        <v>319</v>
      </c>
      <c r="C88" s="5" t="s">
        <v>229</v>
      </c>
      <c r="D88" s="1" t="s">
        <v>12</v>
      </c>
      <c r="E88" s="11">
        <v>0.38</v>
      </c>
      <c r="F88" s="1" t="s">
        <v>606</v>
      </c>
      <c r="G88" s="12">
        <v>1005.8598525084019</v>
      </c>
      <c r="H88" s="1" t="s">
        <v>12</v>
      </c>
      <c r="I88" s="1" t="s">
        <v>164</v>
      </c>
      <c r="J88" s="1" t="s">
        <v>608</v>
      </c>
      <c r="K88" s="1" t="s">
        <v>608</v>
      </c>
      <c r="L88" s="1" t="s">
        <v>608</v>
      </c>
      <c r="M88" s="1" t="s">
        <v>608</v>
      </c>
      <c r="N88" s="1" t="s">
        <v>608</v>
      </c>
      <c r="O88" s="1" t="s">
        <v>608</v>
      </c>
      <c r="P88" s="1" t="s">
        <v>608</v>
      </c>
      <c r="Q88" s="1" t="s">
        <v>608</v>
      </c>
      <c r="R88" s="1" t="s">
        <v>608</v>
      </c>
      <c r="S88" s="1" t="s">
        <v>608</v>
      </c>
      <c r="T88" s="1" t="s">
        <v>608</v>
      </c>
      <c r="U88" s="1" t="s">
        <v>608</v>
      </c>
      <c r="V88" s="33" t="s">
        <v>479</v>
      </c>
      <c r="W88" s="1">
        <v>2021</v>
      </c>
      <c r="X88" s="1">
        <v>2023</v>
      </c>
      <c r="Y88" s="1" t="s">
        <v>608</v>
      </c>
      <c r="Z88" s="1">
        <v>2023</v>
      </c>
      <c r="AA88" s="40">
        <v>2024</v>
      </c>
      <c r="AB88" s="1" t="s">
        <v>608</v>
      </c>
      <c r="AC88" s="40">
        <v>2025</v>
      </c>
      <c r="AD88" s="1" t="s">
        <v>481</v>
      </c>
    </row>
    <row r="89" spans="1:30" ht="56.25" x14ac:dyDescent="0.2">
      <c r="A89" s="1" t="s">
        <v>16</v>
      </c>
      <c r="B89" s="1" t="s">
        <v>320</v>
      </c>
      <c r="C89" s="5" t="s">
        <v>230</v>
      </c>
      <c r="D89" s="1" t="s">
        <v>12</v>
      </c>
      <c r="E89" s="11">
        <v>3.76</v>
      </c>
      <c r="F89" s="1" t="s">
        <v>606</v>
      </c>
      <c r="G89" s="12">
        <v>206.01277237816689</v>
      </c>
      <c r="H89" s="1" t="s">
        <v>12</v>
      </c>
      <c r="I89" s="1" t="s">
        <v>164</v>
      </c>
      <c r="J89" s="1" t="s">
        <v>608</v>
      </c>
      <c r="K89" s="1" t="s">
        <v>608</v>
      </c>
      <c r="L89" s="1" t="s">
        <v>608</v>
      </c>
      <c r="M89" s="1" t="s">
        <v>608</v>
      </c>
      <c r="N89" s="1" t="s">
        <v>608</v>
      </c>
      <c r="O89" s="1" t="s">
        <v>608</v>
      </c>
      <c r="P89" s="1" t="s">
        <v>608</v>
      </c>
      <c r="Q89" s="1" t="s">
        <v>608</v>
      </c>
      <c r="R89" s="1" t="s">
        <v>608</v>
      </c>
      <c r="S89" s="1" t="s">
        <v>608</v>
      </c>
      <c r="T89" s="1" t="s">
        <v>608</v>
      </c>
      <c r="U89" s="1" t="s">
        <v>608</v>
      </c>
      <c r="V89" s="33" t="s">
        <v>479</v>
      </c>
      <c r="W89" s="1">
        <v>2021</v>
      </c>
      <c r="X89" s="1">
        <v>2022</v>
      </c>
      <c r="Y89" s="1" t="s">
        <v>608</v>
      </c>
      <c r="Z89" s="1">
        <v>2023</v>
      </c>
      <c r="AA89" s="1">
        <v>2024</v>
      </c>
      <c r="AB89" s="1" t="s">
        <v>608</v>
      </c>
      <c r="AC89" s="1">
        <v>2025</v>
      </c>
      <c r="AD89" s="1" t="s">
        <v>481</v>
      </c>
    </row>
    <row r="90" spans="1:30" ht="78.75" x14ac:dyDescent="0.2">
      <c r="A90" s="1" t="s">
        <v>16</v>
      </c>
      <c r="B90" s="1" t="s">
        <v>321</v>
      </c>
      <c r="C90" s="5" t="s">
        <v>231</v>
      </c>
      <c r="D90" s="1" t="s">
        <v>12</v>
      </c>
      <c r="E90" s="11">
        <v>5.55</v>
      </c>
      <c r="F90" s="1" t="s">
        <v>606</v>
      </c>
      <c r="G90" s="12">
        <v>112.8060829648566</v>
      </c>
      <c r="H90" s="1" t="s">
        <v>12</v>
      </c>
      <c r="I90" s="1" t="s">
        <v>164</v>
      </c>
      <c r="J90" s="1" t="s">
        <v>608</v>
      </c>
      <c r="K90" s="1" t="s">
        <v>608</v>
      </c>
      <c r="L90" s="1" t="s">
        <v>608</v>
      </c>
      <c r="M90" s="1" t="s">
        <v>608</v>
      </c>
      <c r="N90" s="1" t="s">
        <v>608</v>
      </c>
      <c r="O90" s="1" t="s">
        <v>608</v>
      </c>
      <c r="P90" s="1" t="s">
        <v>608</v>
      </c>
      <c r="Q90" s="1" t="s">
        <v>608</v>
      </c>
      <c r="R90" s="1" t="s">
        <v>608</v>
      </c>
      <c r="S90" s="1" t="s">
        <v>608</v>
      </c>
      <c r="T90" s="1" t="s">
        <v>608</v>
      </c>
      <c r="U90" s="1" t="s">
        <v>608</v>
      </c>
      <c r="V90" s="33" t="s">
        <v>479</v>
      </c>
      <c r="W90" s="1">
        <v>2021</v>
      </c>
      <c r="X90" s="1">
        <v>2022</v>
      </c>
      <c r="Y90" s="1" t="s">
        <v>608</v>
      </c>
      <c r="Z90" s="1">
        <v>2023</v>
      </c>
      <c r="AA90" s="1">
        <v>2023</v>
      </c>
      <c r="AB90" s="1" t="s">
        <v>608</v>
      </c>
      <c r="AC90" s="1">
        <v>2024</v>
      </c>
      <c r="AD90" s="1" t="s">
        <v>481</v>
      </c>
    </row>
    <row r="91" spans="1:30" ht="45" x14ac:dyDescent="0.2">
      <c r="A91" s="1" t="s">
        <v>16</v>
      </c>
      <c r="B91" s="1" t="s">
        <v>322</v>
      </c>
      <c r="C91" s="5" t="s">
        <v>232</v>
      </c>
      <c r="D91" s="1" t="s">
        <v>12</v>
      </c>
      <c r="E91" s="11">
        <v>50.76</v>
      </c>
      <c r="F91" s="1" t="s">
        <v>606</v>
      </c>
      <c r="G91" s="12">
        <v>4490.8260192819735</v>
      </c>
      <c r="H91" s="1" t="s">
        <v>12</v>
      </c>
      <c r="I91" s="1" t="s">
        <v>164</v>
      </c>
      <c r="J91" s="1" t="s">
        <v>608</v>
      </c>
      <c r="K91" s="1" t="s">
        <v>608</v>
      </c>
      <c r="L91" s="1" t="s">
        <v>608</v>
      </c>
      <c r="M91" s="1" t="s">
        <v>608</v>
      </c>
      <c r="N91" s="1" t="s">
        <v>608</v>
      </c>
      <c r="O91" s="1" t="s">
        <v>608</v>
      </c>
      <c r="P91" s="1" t="s">
        <v>608</v>
      </c>
      <c r="Q91" s="1" t="s">
        <v>608</v>
      </c>
      <c r="R91" s="1" t="s">
        <v>608</v>
      </c>
      <c r="S91" s="1" t="s">
        <v>608</v>
      </c>
      <c r="T91" s="1" t="s">
        <v>608</v>
      </c>
      <c r="U91" s="1" t="s">
        <v>608</v>
      </c>
      <c r="V91" s="33" t="s">
        <v>479</v>
      </c>
      <c r="W91" s="1">
        <v>2024</v>
      </c>
      <c r="X91" s="1">
        <v>2025</v>
      </c>
      <c r="Y91" s="1" t="s">
        <v>608</v>
      </c>
      <c r="Z91" s="1">
        <v>2026</v>
      </c>
      <c r="AA91" s="1">
        <v>2028</v>
      </c>
      <c r="AB91" s="1" t="s">
        <v>608</v>
      </c>
      <c r="AC91" s="1">
        <v>2029</v>
      </c>
      <c r="AD91" s="1" t="s">
        <v>481</v>
      </c>
    </row>
    <row r="92" spans="1:30" ht="45" x14ac:dyDescent="0.2">
      <c r="A92" s="1" t="s">
        <v>16</v>
      </c>
      <c r="B92" s="1" t="s">
        <v>323</v>
      </c>
      <c r="C92" s="5" t="s">
        <v>233</v>
      </c>
      <c r="D92" s="1" t="s">
        <v>12</v>
      </c>
      <c r="E92" s="11">
        <v>39.46</v>
      </c>
      <c r="F92" s="1" t="s">
        <v>606</v>
      </c>
      <c r="G92" s="12">
        <v>4751.1625273309637</v>
      </c>
      <c r="H92" s="1" t="s">
        <v>12</v>
      </c>
      <c r="I92" s="1" t="s">
        <v>164</v>
      </c>
      <c r="J92" s="1" t="s">
        <v>608</v>
      </c>
      <c r="K92" s="1" t="s">
        <v>608</v>
      </c>
      <c r="L92" s="1" t="s">
        <v>608</v>
      </c>
      <c r="M92" s="1" t="s">
        <v>608</v>
      </c>
      <c r="N92" s="1" t="s">
        <v>608</v>
      </c>
      <c r="O92" s="1" t="s">
        <v>608</v>
      </c>
      <c r="P92" s="1" t="s">
        <v>608</v>
      </c>
      <c r="Q92" s="1" t="s">
        <v>608</v>
      </c>
      <c r="R92" s="1" t="s">
        <v>608</v>
      </c>
      <c r="S92" s="1" t="s">
        <v>608</v>
      </c>
      <c r="T92" s="1" t="s">
        <v>608</v>
      </c>
      <c r="U92" s="1" t="s">
        <v>608</v>
      </c>
      <c r="V92" s="33" t="s">
        <v>479</v>
      </c>
      <c r="W92" s="1">
        <v>2024</v>
      </c>
      <c r="X92" s="1">
        <v>2025</v>
      </c>
      <c r="Y92" s="1" t="s">
        <v>608</v>
      </c>
      <c r="Z92" s="1">
        <v>2026</v>
      </c>
      <c r="AA92" s="1">
        <v>2028</v>
      </c>
      <c r="AB92" s="1" t="s">
        <v>608</v>
      </c>
      <c r="AC92" s="1">
        <v>2029</v>
      </c>
      <c r="AD92" s="1" t="s">
        <v>481</v>
      </c>
    </row>
    <row r="93" spans="1:30" ht="45" x14ac:dyDescent="0.2">
      <c r="A93" s="1" t="s">
        <v>16</v>
      </c>
      <c r="B93" s="1" t="s">
        <v>324</v>
      </c>
      <c r="C93" s="5" t="s">
        <v>234</v>
      </c>
      <c r="D93" s="1" t="s">
        <v>12</v>
      </c>
      <c r="E93" s="11">
        <v>31.2</v>
      </c>
      <c r="F93" s="1" t="s">
        <v>606</v>
      </c>
      <c r="G93" s="12">
        <v>5870.9812892289028</v>
      </c>
      <c r="H93" s="1" t="s">
        <v>12</v>
      </c>
      <c r="I93" s="1" t="s">
        <v>164</v>
      </c>
      <c r="J93" s="1" t="s">
        <v>608</v>
      </c>
      <c r="K93" s="1" t="s">
        <v>608</v>
      </c>
      <c r="L93" s="1" t="s">
        <v>608</v>
      </c>
      <c r="M93" s="1" t="s">
        <v>608</v>
      </c>
      <c r="N93" s="1" t="s">
        <v>608</v>
      </c>
      <c r="O93" s="1" t="s">
        <v>608</v>
      </c>
      <c r="P93" s="1" t="s">
        <v>608</v>
      </c>
      <c r="Q93" s="1" t="s">
        <v>608</v>
      </c>
      <c r="R93" s="1" t="s">
        <v>608</v>
      </c>
      <c r="S93" s="1" t="s">
        <v>608</v>
      </c>
      <c r="T93" s="1" t="s">
        <v>608</v>
      </c>
      <c r="U93" s="1" t="s">
        <v>608</v>
      </c>
      <c r="V93" s="33" t="s">
        <v>479</v>
      </c>
      <c r="W93" s="1">
        <v>2024</v>
      </c>
      <c r="X93" s="1">
        <v>2025</v>
      </c>
      <c r="Y93" s="1" t="s">
        <v>608</v>
      </c>
      <c r="Z93" s="1">
        <v>2026</v>
      </c>
      <c r="AA93" s="1">
        <v>2028</v>
      </c>
      <c r="AB93" s="1" t="s">
        <v>608</v>
      </c>
      <c r="AC93" s="1">
        <v>2029</v>
      </c>
      <c r="AD93" s="1" t="s">
        <v>481</v>
      </c>
    </row>
    <row r="94" spans="1:30" ht="45" x14ac:dyDescent="0.2">
      <c r="A94" s="1" t="s">
        <v>16</v>
      </c>
      <c r="B94" s="1" t="s">
        <v>325</v>
      </c>
      <c r="C94" s="5" t="s">
        <v>235</v>
      </c>
      <c r="D94" s="1" t="s">
        <v>12</v>
      </c>
      <c r="E94" s="11">
        <v>2.591847</v>
      </c>
      <c r="F94" s="1" t="s">
        <v>606</v>
      </c>
      <c r="G94" s="12">
        <v>11256.457424861172</v>
      </c>
      <c r="H94" s="1" t="s">
        <v>12</v>
      </c>
      <c r="I94" s="1" t="s">
        <v>164</v>
      </c>
      <c r="J94" s="1" t="s">
        <v>608</v>
      </c>
      <c r="K94" s="1" t="s">
        <v>608</v>
      </c>
      <c r="L94" s="1" t="s">
        <v>608</v>
      </c>
      <c r="M94" s="1" t="s">
        <v>608</v>
      </c>
      <c r="N94" s="1" t="s">
        <v>608</v>
      </c>
      <c r="O94" s="1" t="s">
        <v>608</v>
      </c>
      <c r="P94" s="1" t="s">
        <v>608</v>
      </c>
      <c r="Q94" s="1" t="s">
        <v>608</v>
      </c>
      <c r="R94" s="1" t="s">
        <v>608</v>
      </c>
      <c r="S94" s="1" t="s">
        <v>608</v>
      </c>
      <c r="T94" s="1" t="s">
        <v>608</v>
      </c>
      <c r="U94" s="1" t="s">
        <v>608</v>
      </c>
      <c r="V94" s="33" t="s">
        <v>479</v>
      </c>
      <c r="W94" s="1">
        <v>2024</v>
      </c>
      <c r="X94" s="1">
        <v>2025</v>
      </c>
      <c r="Y94" s="1" t="s">
        <v>608</v>
      </c>
      <c r="Z94" s="1">
        <v>2026</v>
      </c>
      <c r="AA94" s="1">
        <v>2028</v>
      </c>
      <c r="AB94" s="1" t="s">
        <v>608</v>
      </c>
      <c r="AC94" s="1">
        <v>2029</v>
      </c>
      <c r="AD94" s="1" t="s">
        <v>481</v>
      </c>
    </row>
    <row r="95" spans="1:30" ht="45" x14ac:dyDescent="0.2">
      <c r="A95" s="1" t="s">
        <v>16</v>
      </c>
      <c r="B95" s="1" t="s">
        <v>326</v>
      </c>
      <c r="C95" s="5" t="s">
        <v>236</v>
      </c>
      <c r="D95" s="1" t="s">
        <v>12</v>
      </c>
      <c r="E95" s="11">
        <v>27.806890000000003</v>
      </c>
      <c r="F95" s="1" t="s">
        <v>606</v>
      </c>
      <c r="G95" s="12">
        <v>4992.7812448963232</v>
      </c>
      <c r="H95" s="1" t="s">
        <v>12</v>
      </c>
      <c r="I95" s="1" t="s">
        <v>164</v>
      </c>
      <c r="J95" s="1" t="s">
        <v>608</v>
      </c>
      <c r="K95" s="1" t="s">
        <v>608</v>
      </c>
      <c r="L95" s="1" t="s">
        <v>608</v>
      </c>
      <c r="M95" s="1" t="s">
        <v>608</v>
      </c>
      <c r="N95" s="1" t="s">
        <v>608</v>
      </c>
      <c r="O95" s="1" t="s">
        <v>608</v>
      </c>
      <c r="P95" s="1" t="s">
        <v>608</v>
      </c>
      <c r="Q95" s="1" t="s">
        <v>608</v>
      </c>
      <c r="R95" s="1" t="s">
        <v>608</v>
      </c>
      <c r="S95" s="1" t="s">
        <v>608</v>
      </c>
      <c r="T95" s="1" t="s">
        <v>608</v>
      </c>
      <c r="U95" s="1" t="s">
        <v>608</v>
      </c>
      <c r="V95" s="33" t="s">
        <v>479</v>
      </c>
      <c r="W95" s="1">
        <v>2024</v>
      </c>
      <c r="X95" s="1">
        <v>2025</v>
      </c>
      <c r="Y95" s="1" t="s">
        <v>608</v>
      </c>
      <c r="Z95" s="1">
        <v>2026</v>
      </c>
      <c r="AA95" s="1">
        <v>2028</v>
      </c>
      <c r="AB95" s="1" t="s">
        <v>608</v>
      </c>
      <c r="AC95" s="1">
        <v>2029</v>
      </c>
      <c r="AD95" s="1" t="s">
        <v>481</v>
      </c>
    </row>
    <row r="96" spans="1:30" ht="45" x14ac:dyDescent="0.2">
      <c r="A96" s="1" t="s">
        <v>16</v>
      </c>
      <c r="B96" s="1" t="s">
        <v>327</v>
      </c>
      <c r="C96" s="5" t="s">
        <v>237</v>
      </c>
      <c r="D96" s="1" t="s">
        <v>12</v>
      </c>
      <c r="E96" s="11">
        <v>54.76</v>
      </c>
      <c r="F96" s="1" t="s">
        <v>606</v>
      </c>
      <c r="G96" s="12">
        <v>16891.645753745626</v>
      </c>
      <c r="H96" s="1" t="s">
        <v>12</v>
      </c>
      <c r="I96" s="1" t="s">
        <v>164</v>
      </c>
      <c r="J96" s="1" t="s">
        <v>608</v>
      </c>
      <c r="K96" s="1" t="s">
        <v>608</v>
      </c>
      <c r="L96" s="1" t="s">
        <v>608</v>
      </c>
      <c r="M96" s="1" t="s">
        <v>608</v>
      </c>
      <c r="N96" s="1" t="s">
        <v>608</v>
      </c>
      <c r="O96" s="1" t="s">
        <v>608</v>
      </c>
      <c r="P96" s="1" t="s">
        <v>608</v>
      </c>
      <c r="Q96" s="1" t="s">
        <v>608</v>
      </c>
      <c r="R96" s="1" t="s">
        <v>608</v>
      </c>
      <c r="S96" s="1" t="s">
        <v>608</v>
      </c>
      <c r="T96" s="1" t="s">
        <v>608</v>
      </c>
      <c r="U96" s="1" t="s">
        <v>608</v>
      </c>
      <c r="V96" s="33" t="s">
        <v>479</v>
      </c>
      <c r="W96" s="1">
        <v>2024</v>
      </c>
      <c r="X96" s="1">
        <v>2025</v>
      </c>
      <c r="Y96" s="1" t="s">
        <v>608</v>
      </c>
      <c r="Z96" s="1">
        <v>2026</v>
      </c>
      <c r="AA96" s="1">
        <v>2028</v>
      </c>
      <c r="AB96" s="1" t="s">
        <v>608</v>
      </c>
      <c r="AC96" s="1">
        <v>2029</v>
      </c>
      <c r="AD96" s="1" t="s">
        <v>481</v>
      </c>
    </row>
    <row r="97" spans="1:30" ht="56.25" x14ac:dyDescent="0.2">
      <c r="A97" s="1" t="s">
        <v>16</v>
      </c>
      <c r="B97" s="1" t="s">
        <v>328</v>
      </c>
      <c r="C97" s="5" t="s">
        <v>238</v>
      </c>
      <c r="D97" s="1" t="s">
        <v>12</v>
      </c>
      <c r="E97" s="11">
        <v>31.26</v>
      </c>
      <c r="F97" s="1" t="s">
        <v>606</v>
      </c>
      <c r="G97" s="12">
        <v>6884.0798630063719</v>
      </c>
      <c r="H97" s="1" t="s">
        <v>12</v>
      </c>
      <c r="I97" s="1" t="s">
        <v>164</v>
      </c>
      <c r="J97" s="1" t="s">
        <v>608</v>
      </c>
      <c r="K97" s="1" t="s">
        <v>608</v>
      </c>
      <c r="L97" s="1" t="s">
        <v>608</v>
      </c>
      <c r="M97" s="1" t="s">
        <v>608</v>
      </c>
      <c r="N97" s="1" t="s">
        <v>608</v>
      </c>
      <c r="O97" s="1" t="s">
        <v>608</v>
      </c>
      <c r="P97" s="1" t="s">
        <v>608</v>
      </c>
      <c r="Q97" s="1" t="s">
        <v>608</v>
      </c>
      <c r="R97" s="1" t="s">
        <v>608</v>
      </c>
      <c r="S97" s="1" t="s">
        <v>608</v>
      </c>
      <c r="T97" s="1" t="s">
        <v>608</v>
      </c>
      <c r="U97" s="1" t="s">
        <v>608</v>
      </c>
      <c r="V97" s="33" t="s">
        <v>479</v>
      </c>
      <c r="W97" s="1">
        <v>2024</v>
      </c>
      <c r="X97" s="1">
        <v>2025</v>
      </c>
      <c r="Y97" s="1" t="s">
        <v>608</v>
      </c>
      <c r="Z97" s="1">
        <v>2026</v>
      </c>
      <c r="AA97" s="1">
        <v>2027</v>
      </c>
      <c r="AB97" s="1" t="s">
        <v>608</v>
      </c>
      <c r="AC97" s="1">
        <v>2028</v>
      </c>
      <c r="AD97" s="1" t="s">
        <v>481</v>
      </c>
    </row>
    <row r="98" spans="1:30" ht="112.5" x14ac:dyDescent="0.2">
      <c r="A98" s="1" t="s">
        <v>16</v>
      </c>
      <c r="B98" s="1" t="s">
        <v>329</v>
      </c>
      <c r="C98" s="5" t="s">
        <v>239</v>
      </c>
      <c r="D98" s="1" t="s">
        <v>12</v>
      </c>
      <c r="E98" s="11">
        <v>28.4</v>
      </c>
      <c r="F98" s="1" t="s">
        <v>606</v>
      </c>
      <c r="G98" s="12">
        <v>5072.565989114566</v>
      </c>
      <c r="H98" s="1" t="s">
        <v>12</v>
      </c>
      <c r="I98" s="1" t="s">
        <v>164</v>
      </c>
      <c r="J98" s="1" t="s">
        <v>608</v>
      </c>
      <c r="K98" s="1" t="s">
        <v>608</v>
      </c>
      <c r="L98" s="1" t="s">
        <v>608</v>
      </c>
      <c r="M98" s="1" t="s">
        <v>608</v>
      </c>
      <c r="N98" s="1" t="s">
        <v>608</v>
      </c>
      <c r="O98" s="1" t="s">
        <v>608</v>
      </c>
      <c r="P98" s="1" t="s">
        <v>608</v>
      </c>
      <c r="Q98" s="1" t="s">
        <v>608</v>
      </c>
      <c r="R98" s="1" t="s">
        <v>608</v>
      </c>
      <c r="S98" s="1" t="s">
        <v>608</v>
      </c>
      <c r="T98" s="1" t="s">
        <v>608</v>
      </c>
      <c r="U98" s="1" t="s">
        <v>608</v>
      </c>
      <c r="V98" s="33" t="s">
        <v>479</v>
      </c>
      <c r="W98" s="1">
        <v>2023</v>
      </c>
      <c r="X98" s="1">
        <v>2025</v>
      </c>
      <c r="Y98" s="1" t="s">
        <v>608</v>
      </c>
      <c r="Z98" s="40">
        <v>2026</v>
      </c>
      <c r="AA98" s="1">
        <v>2027</v>
      </c>
      <c r="AB98" s="1" t="s">
        <v>608</v>
      </c>
      <c r="AC98" s="1">
        <v>2028</v>
      </c>
      <c r="AD98" s="1" t="s">
        <v>481</v>
      </c>
    </row>
    <row r="99" spans="1:30" ht="112.5" x14ac:dyDescent="0.2">
      <c r="A99" s="1" t="s">
        <v>16</v>
      </c>
      <c r="B99" s="1" t="s">
        <v>330</v>
      </c>
      <c r="C99" s="5" t="s">
        <v>240</v>
      </c>
      <c r="D99" s="1" t="s">
        <v>12</v>
      </c>
      <c r="E99" s="11">
        <v>14.5</v>
      </c>
      <c r="F99" s="1" t="s">
        <v>606</v>
      </c>
      <c r="G99" s="12">
        <v>0</v>
      </c>
      <c r="H99" s="1" t="s">
        <v>12</v>
      </c>
      <c r="I99" s="1" t="s">
        <v>164</v>
      </c>
      <c r="J99" s="1" t="s">
        <v>608</v>
      </c>
      <c r="K99" s="1" t="s">
        <v>608</v>
      </c>
      <c r="L99" s="1" t="s">
        <v>608</v>
      </c>
      <c r="M99" s="1" t="s">
        <v>608</v>
      </c>
      <c r="N99" s="1" t="s">
        <v>608</v>
      </c>
      <c r="O99" s="1" t="s">
        <v>608</v>
      </c>
      <c r="P99" s="1" t="s">
        <v>608</v>
      </c>
      <c r="Q99" s="1" t="s">
        <v>608</v>
      </c>
      <c r="R99" s="1" t="s">
        <v>608</v>
      </c>
      <c r="S99" s="1" t="s">
        <v>608</v>
      </c>
      <c r="T99" s="1" t="s">
        <v>608</v>
      </c>
      <c r="U99" s="1" t="s">
        <v>608</v>
      </c>
      <c r="V99" s="33" t="s">
        <v>479</v>
      </c>
      <c r="W99" s="1">
        <v>2023</v>
      </c>
      <c r="X99" s="1">
        <v>2025</v>
      </c>
      <c r="Y99" s="1" t="s">
        <v>608</v>
      </c>
      <c r="Z99" s="40">
        <v>2026</v>
      </c>
      <c r="AA99" s="1">
        <v>2027</v>
      </c>
      <c r="AB99" s="1" t="s">
        <v>608</v>
      </c>
      <c r="AC99" s="1">
        <v>2028</v>
      </c>
      <c r="AD99" s="1" t="s">
        <v>481</v>
      </c>
    </row>
    <row r="100" spans="1:30" ht="56.25" x14ac:dyDescent="0.2">
      <c r="A100" s="1" t="s">
        <v>16</v>
      </c>
      <c r="B100" s="1" t="s">
        <v>331</v>
      </c>
      <c r="C100" s="5" t="s">
        <v>241</v>
      </c>
      <c r="D100" s="1" t="s">
        <v>12</v>
      </c>
      <c r="E100" s="11">
        <v>1</v>
      </c>
      <c r="F100" s="1" t="s">
        <v>606</v>
      </c>
      <c r="G100" s="12">
        <v>4167.6058237490133</v>
      </c>
      <c r="H100" s="1" t="s">
        <v>12</v>
      </c>
      <c r="I100" s="1" t="s">
        <v>164</v>
      </c>
      <c r="J100" s="1" t="s">
        <v>608</v>
      </c>
      <c r="K100" s="1" t="s">
        <v>608</v>
      </c>
      <c r="L100" s="1" t="s">
        <v>608</v>
      </c>
      <c r="M100" s="1" t="s">
        <v>608</v>
      </c>
      <c r="N100" s="1" t="s">
        <v>608</v>
      </c>
      <c r="O100" s="1" t="s">
        <v>608</v>
      </c>
      <c r="P100" s="1" t="s">
        <v>608</v>
      </c>
      <c r="Q100" s="1" t="s">
        <v>608</v>
      </c>
      <c r="R100" s="1" t="s">
        <v>608</v>
      </c>
      <c r="S100" s="1" t="s">
        <v>608</v>
      </c>
      <c r="T100" s="1" t="s">
        <v>608</v>
      </c>
      <c r="U100" s="1" t="s">
        <v>608</v>
      </c>
      <c r="V100" s="33" t="s">
        <v>479</v>
      </c>
      <c r="W100" s="1">
        <v>2022</v>
      </c>
      <c r="X100" s="1">
        <v>2024</v>
      </c>
      <c r="Y100" s="1" t="s">
        <v>608</v>
      </c>
      <c r="Z100" s="40">
        <v>2026</v>
      </c>
      <c r="AA100" s="1">
        <v>2026</v>
      </c>
      <c r="AB100" s="1" t="s">
        <v>608</v>
      </c>
      <c r="AC100" s="1">
        <v>2027</v>
      </c>
      <c r="AD100" s="1" t="s">
        <v>481</v>
      </c>
    </row>
    <row r="101" spans="1:30" ht="67.5" x14ac:dyDescent="0.2">
      <c r="A101" s="1" t="s">
        <v>16</v>
      </c>
      <c r="B101" s="1" t="s">
        <v>332</v>
      </c>
      <c r="C101" s="5" t="s">
        <v>242</v>
      </c>
      <c r="D101" s="1" t="s">
        <v>12</v>
      </c>
      <c r="E101" s="11">
        <v>15.3</v>
      </c>
      <c r="F101" s="1" t="s">
        <v>606</v>
      </c>
      <c r="G101" s="12">
        <v>542.42496417540031</v>
      </c>
      <c r="H101" s="1" t="s">
        <v>12</v>
      </c>
      <c r="I101" s="1" t="s">
        <v>164</v>
      </c>
      <c r="J101" s="1" t="s">
        <v>608</v>
      </c>
      <c r="K101" s="1" t="s">
        <v>608</v>
      </c>
      <c r="L101" s="1" t="s">
        <v>608</v>
      </c>
      <c r="M101" s="1" t="s">
        <v>608</v>
      </c>
      <c r="N101" s="1" t="s">
        <v>608</v>
      </c>
      <c r="O101" s="1" t="s">
        <v>608</v>
      </c>
      <c r="P101" s="1" t="s">
        <v>608</v>
      </c>
      <c r="Q101" s="1" t="s">
        <v>608</v>
      </c>
      <c r="R101" s="1" t="s">
        <v>608</v>
      </c>
      <c r="S101" s="1" t="s">
        <v>608</v>
      </c>
      <c r="T101" s="1" t="s">
        <v>608</v>
      </c>
      <c r="U101" s="1" t="s">
        <v>608</v>
      </c>
      <c r="V101" s="33" t="s">
        <v>479</v>
      </c>
      <c r="W101" s="1">
        <v>2022</v>
      </c>
      <c r="X101" s="1">
        <v>2024</v>
      </c>
      <c r="Y101" s="1" t="s">
        <v>608</v>
      </c>
      <c r="Z101" s="40">
        <v>2025</v>
      </c>
      <c r="AA101" s="1">
        <v>2026</v>
      </c>
      <c r="AB101" s="1" t="s">
        <v>608</v>
      </c>
      <c r="AC101" s="1">
        <v>2027</v>
      </c>
      <c r="AD101" s="1" t="s">
        <v>481</v>
      </c>
    </row>
    <row r="102" spans="1:30" ht="67.5" x14ac:dyDescent="0.2">
      <c r="A102" s="1" t="s">
        <v>16</v>
      </c>
      <c r="B102" s="1" t="s">
        <v>333</v>
      </c>
      <c r="C102" s="5" t="s">
        <v>243</v>
      </c>
      <c r="D102" s="1" t="s">
        <v>12</v>
      </c>
      <c r="E102" s="11">
        <v>13.6</v>
      </c>
      <c r="F102" s="1" t="s">
        <v>606</v>
      </c>
      <c r="G102" s="12">
        <v>540.4687537638813</v>
      </c>
      <c r="H102" s="1" t="s">
        <v>12</v>
      </c>
      <c r="I102" s="1" t="s">
        <v>164</v>
      </c>
      <c r="J102" s="1" t="s">
        <v>608</v>
      </c>
      <c r="K102" s="1" t="s">
        <v>608</v>
      </c>
      <c r="L102" s="1" t="s">
        <v>608</v>
      </c>
      <c r="M102" s="1" t="s">
        <v>608</v>
      </c>
      <c r="N102" s="1" t="s">
        <v>608</v>
      </c>
      <c r="O102" s="1" t="s">
        <v>608</v>
      </c>
      <c r="P102" s="1" t="s">
        <v>608</v>
      </c>
      <c r="Q102" s="1" t="s">
        <v>608</v>
      </c>
      <c r="R102" s="1" t="s">
        <v>608</v>
      </c>
      <c r="S102" s="1" t="s">
        <v>608</v>
      </c>
      <c r="T102" s="1" t="s">
        <v>608</v>
      </c>
      <c r="U102" s="1" t="s">
        <v>608</v>
      </c>
      <c r="V102" s="33" t="s">
        <v>479</v>
      </c>
      <c r="W102" s="1">
        <v>2022</v>
      </c>
      <c r="X102" s="1">
        <v>2024</v>
      </c>
      <c r="Y102" s="1" t="s">
        <v>608</v>
      </c>
      <c r="Z102" s="1">
        <v>2025</v>
      </c>
      <c r="AA102" s="1">
        <v>2026</v>
      </c>
      <c r="AB102" s="1" t="s">
        <v>608</v>
      </c>
      <c r="AC102" s="1">
        <v>2027</v>
      </c>
      <c r="AD102" s="1" t="s">
        <v>481</v>
      </c>
    </row>
    <row r="103" spans="1:30" ht="67.5" x14ac:dyDescent="0.2">
      <c r="A103" s="1" t="s">
        <v>16</v>
      </c>
      <c r="B103" s="1" t="s">
        <v>334</v>
      </c>
      <c r="C103" s="5" t="s">
        <v>244</v>
      </c>
      <c r="D103" s="1" t="s">
        <v>12</v>
      </c>
      <c r="E103" s="11">
        <v>7.5</v>
      </c>
      <c r="F103" s="1" t="s">
        <v>606</v>
      </c>
      <c r="G103" s="12">
        <v>685.32194680535713</v>
      </c>
      <c r="H103" s="1" t="s">
        <v>12</v>
      </c>
      <c r="I103" s="1" t="s">
        <v>164</v>
      </c>
      <c r="J103" s="1" t="s">
        <v>608</v>
      </c>
      <c r="K103" s="1" t="s">
        <v>608</v>
      </c>
      <c r="L103" s="1" t="s">
        <v>608</v>
      </c>
      <c r="M103" s="1" t="s">
        <v>608</v>
      </c>
      <c r="N103" s="1" t="s">
        <v>608</v>
      </c>
      <c r="O103" s="1" t="s">
        <v>608</v>
      </c>
      <c r="P103" s="1" t="s">
        <v>608</v>
      </c>
      <c r="Q103" s="1" t="s">
        <v>608</v>
      </c>
      <c r="R103" s="1" t="s">
        <v>608</v>
      </c>
      <c r="S103" s="1" t="s">
        <v>608</v>
      </c>
      <c r="T103" s="1" t="s">
        <v>608</v>
      </c>
      <c r="U103" s="1" t="s">
        <v>608</v>
      </c>
      <c r="V103" s="33" t="s">
        <v>479</v>
      </c>
      <c r="W103" s="1">
        <v>2022</v>
      </c>
      <c r="X103" s="1">
        <v>2024</v>
      </c>
      <c r="Y103" s="1" t="s">
        <v>608</v>
      </c>
      <c r="Z103" s="1">
        <v>2025</v>
      </c>
      <c r="AA103" s="1">
        <v>2026</v>
      </c>
      <c r="AB103" s="1" t="s">
        <v>608</v>
      </c>
      <c r="AC103" s="1">
        <v>2027</v>
      </c>
      <c r="AD103" s="1" t="s">
        <v>481</v>
      </c>
    </row>
    <row r="104" spans="1:30" ht="101.25" x14ac:dyDescent="0.2">
      <c r="A104" s="1" t="s">
        <v>16</v>
      </c>
      <c r="B104" s="1" t="s">
        <v>335</v>
      </c>
      <c r="C104" s="5" t="s">
        <v>245</v>
      </c>
      <c r="D104" s="1" t="s">
        <v>12</v>
      </c>
      <c r="E104" s="11">
        <v>28.4</v>
      </c>
      <c r="F104" s="1" t="s">
        <v>606</v>
      </c>
      <c r="G104" s="12">
        <v>2730.5664269027993</v>
      </c>
      <c r="H104" s="1" t="s">
        <v>12</v>
      </c>
      <c r="I104" s="1" t="s">
        <v>164</v>
      </c>
      <c r="J104" s="1" t="s">
        <v>608</v>
      </c>
      <c r="K104" s="1" t="s">
        <v>608</v>
      </c>
      <c r="L104" s="1" t="s">
        <v>608</v>
      </c>
      <c r="M104" s="1" t="s">
        <v>608</v>
      </c>
      <c r="N104" s="1" t="s">
        <v>608</v>
      </c>
      <c r="O104" s="1" t="s">
        <v>608</v>
      </c>
      <c r="P104" s="1" t="s">
        <v>608</v>
      </c>
      <c r="Q104" s="1" t="s">
        <v>608</v>
      </c>
      <c r="R104" s="1" t="s">
        <v>608</v>
      </c>
      <c r="S104" s="1" t="s">
        <v>608</v>
      </c>
      <c r="T104" s="1" t="s">
        <v>608</v>
      </c>
      <c r="U104" s="1" t="s">
        <v>608</v>
      </c>
      <c r="V104" s="33" t="s">
        <v>479</v>
      </c>
      <c r="W104" s="1">
        <v>2022</v>
      </c>
      <c r="X104" s="1">
        <v>2024</v>
      </c>
      <c r="Y104" s="1" t="s">
        <v>608</v>
      </c>
      <c r="Z104" s="1">
        <v>2025</v>
      </c>
      <c r="AA104" s="1">
        <v>2026</v>
      </c>
      <c r="AB104" s="1" t="s">
        <v>608</v>
      </c>
      <c r="AC104" s="1">
        <v>2027</v>
      </c>
      <c r="AD104" s="1" t="s">
        <v>481</v>
      </c>
    </row>
    <row r="105" spans="1:30" ht="146.25" x14ac:dyDescent="0.2">
      <c r="A105" s="1" t="s">
        <v>16</v>
      </c>
      <c r="B105" s="1" t="s">
        <v>336</v>
      </c>
      <c r="C105" s="5" t="s">
        <v>246</v>
      </c>
      <c r="D105" s="1" t="s">
        <v>12</v>
      </c>
      <c r="E105" s="11">
        <v>25.2</v>
      </c>
      <c r="F105" s="1" t="s">
        <v>606</v>
      </c>
      <c r="G105" s="12">
        <v>1417.7183625687426</v>
      </c>
      <c r="H105" s="1" t="s">
        <v>12</v>
      </c>
      <c r="I105" s="1" t="s">
        <v>164</v>
      </c>
      <c r="J105" s="1" t="s">
        <v>608</v>
      </c>
      <c r="K105" s="1" t="s">
        <v>608</v>
      </c>
      <c r="L105" s="1" t="s">
        <v>608</v>
      </c>
      <c r="M105" s="1" t="s">
        <v>608</v>
      </c>
      <c r="N105" s="1" t="s">
        <v>608</v>
      </c>
      <c r="O105" s="1" t="s">
        <v>608</v>
      </c>
      <c r="P105" s="1" t="s">
        <v>608</v>
      </c>
      <c r="Q105" s="1" t="s">
        <v>608</v>
      </c>
      <c r="R105" s="1" t="s">
        <v>608</v>
      </c>
      <c r="S105" s="1" t="s">
        <v>608</v>
      </c>
      <c r="T105" s="1" t="s">
        <v>608</v>
      </c>
      <c r="U105" s="1" t="s">
        <v>608</v>
      </c>
      <c r="V105" s="33" t="s">
        <v>479</v>
      </c>
      <c r="W105" s="1">
        <v>2022</v>
      </c>
      <c r="X105" s="1">
        <v>2024</v>
      </c>
      <c r="Y105" s="1" t="s">
        <v>608</v>
      </c>
      <c r="Z105" s="1">
        <v>2025</v>
      </c>
      <c r="AA105" s="1">
        <v>2026</v>
      </c>
      <c r="AB105" s="1" t="s">
        <v>608</v>
      </c>
      <c r="AC105" s="1">
        <v>2027</v>
      </c>
      <c r="AD105" s="1" t="s">
        <v>481</v>
      </c>
    </row>
    <row r="106" spans="1:30" ht="78.75" x14ac:dyDescent="0.2">
      <c r="A106" s="1" t="s">
        <v>16</v>
      </c>
      <c r="B106" s="1" t="s">
        <v>337</v>
      </c>
      <c r="C106" s="5" t="s">
        <v>247</v>
      </c>
      <c r="D106" s="1" t="s">
        <v>12</v>
      </c>
      <c r="E106" s="11">
        <v>9.8000000000000007</v>
      </c>
      <c r="F106" s="1" t="s">
        <v>606</v>
      </c>
      <c r="G106" s="12">
        <v>865.19178904616638</v>
      </c>
      <c r="H106" s="1" t="s">
        <v>12</v>
      </c>
      <c r="I106" s="1" t="s">
        <v>164</v>
      </c>
      <c r="J106" s="1" t="s">
        <v>608</v>
      </c>
      <c r="K106" s="1" t="s">
        <v>608</v>
      </c>
      <c r="L106" s="1" t="s">
        <v>608</v>
      </c>
      <c r="M106" s="1" t="s">
        <v>608</v>
      </c>
      <c r="N106" s="1" t="s">
        <v>608</v>
      </c>
      <c r="O106" s="1" t="s">
        <v>608</v>
      </c>
      <c r="P106" s="1" t="s">
        <v>608</v>
      </c>
      <c r="Q106" s="1" t="s">
        <v>608</v>
      </c>
      <c r="R106" s="1" t="s">
        <v>608</v>
      </c>
      <c r="S106" s="1" t="s">
        <v>608</v>
      </c>
      <c r="T106" s="1" t="s">
        <v>608</v>
      </c>
      <c r="U106" s="1" t="s">
        <v>608</v>
      </c>
      <c r="V106" s="33" t="s">
        <v>479</v>
      </c>
      <c r="W106" s="1">
        <v>2022</v>
      </c>
      <c r="X106" s="1">
        <v>2024</v>
      </c>
      <c r="Y106" s="1" t="s">
        <v>608</v>
      </c>
      <c r="Z106" s="40">
        <v>2026</v>
      </c>
      <c r="AA106" s="1">
        <v>2026</v>
      </c>
      <c r="AB106" s="1" t="s">
        <v>608</v>
      </c>
      <c r="AC106" s="1">
        <v>2027</v>
      </c>
      <c r="AD106" s="1" t="s">
        <v>481</v>
      </c>
    </row>
    <row r="107" spans="1:30" ht="45" x14ac:dyDescent="0.2">
      <c r="A107" s="1" t="s">
        <v>16</v>
      </c>
      <c r="B107" s="1" t="s">
        <v>338</v>
      </c>
      <c r="C107" s="5" t="s">
        <v>248</v>
      </c>
      <c r="D107" s="1" t="s">
        <v>12</v>
      </c>
      <c r="E107" s="11">
        <v>0.496</v>
      </c>
      <c r="F107" s="1" t="s">
        <v>606</v>
      </c>
      <c r="G107" s="12">
        <v>57.835545111557131</v>
      </c>
      <c r="H107" s="1" t="s">
        <v>12</v>
      </c>
      <c r="I107" s="1" t="s">
        <v>164</v>
      </c>
      <c r="J107" s="1" t="s">
        <v>608</v>
      </c>
      <c r="K107" s="1" t="s">
        <v>608</v>
      </c>
      <c r="L107" s="1" t="s">
        <v>608</v>
      </c>
      <c r="M107" s="1" t="s">
        <v>608</v>
      </c>
      <c r="N107" s="1" t="s">
        <v>608</v>
      </c>
      <c r="O107" s="1" t="s">
        <v>608</v>
      </c>
      <c r="P107" s="1" t="s">
        <v>608</v>
      </c>
      <c r="Q107" s="1" t="s">
        <v>608</v>
      </c>
      <c r="R107" s="1" t="s">
        <v>608</v>
      </c>
      <c r="S107" s="1" t="s">
        <v>608</v>
      </c>
      <c r="T107" s="1" t="s">
        <v>608</v>
      </c>
      <c r="U107" s="1" t="s">
        <v>608</v>
      </c>
      <c r="V107" s="33" t="s">
        <v>479</v>
      </c>
      <c r="W107" s="1">
        <v>2024</v>
      </c>
      <c r="X107" s="1">
        <v>2025</v>
      </c>
      <c r="Y107" s="1" t="s">
        <v>608</v>
      </c>
      <c r="Z107" s="1">
        <v>2026</v>
      </c>
      <c r="AA107" s="1">
        <v>2027</v>
      </c>
      <c r="AB107" s="1" t="s">
        <v>608</v>
      </c>
      <c r="AC107" s="1">
        <v>2028</v>
      </c>
      <c r="AD107" s="1" t="s">
        <v>481</v>
      </c>
    </row>
    <row r="108" spans="1:30" ht="78.75" x14ac:dyDescent="0.2">
      <c r="A108" s="1" t="s">
        <v>16</v>
      </c>
      <c r="B108" s="1" t="s">
        <v>339</v>
      </c>
      <c r="C108" s="5" t="s">
        <v>249</v>
      </c>
      <c r="D108" s="1" t="s">
        <v>12</v>
      </c>
      <c r="E108" s="11">
        <v>3</v>
      </c>
      <c r="F108" s="1" t="s">
        <v>606</v>
      </c>
      <c r="G108" s="12">
        <v>554.40219676535855</v>
      </c>
      <c r="H108" s="1" t="s">
        <v>12</v>
      </c>
      <c r="I108" s="1" t="s">
        <v>164</v>
      </c>
      <c r="J108" s="1" t="s">
        <v>608</v>
      </c>
      <c r="K108" s="1" t="s">
        <v>608</v>
      </c>
      <c r="L108" s="1" t="s">
        <v>608</v>
      </c>
      <c r="M108" s="1" t="s">
        <v>608</v>
      </c>
      <c r="N108" s="1" t="s">
        <v>608</v>
      </c>
      <c r="O108" s="1" t="s">
        <v>608</v>
      </c>
      <c r="P108" s="1" t="s">
        <v>608</v>
      </c>
      <c r="Q108" s="1" t="s">
        <v>608</v>
      </c>
      <c r="R108" s="1" t="s">
        <v>608</v>
      </c>
      <c r="S108" s="1" t="s">
        <v>608</v>
      </c>
      <c r="T108" s="1" t="s">
        <v>608</v>
      </c>
      <c r="U108" s="1" t="s">
        <v>608</v>
      </c>
      <c r="V108" s="33" t="s">
        <v>479</v>
      </c>
      <c r="W108" s="1">
        <v>2016</v>
      </c>
      <c r="X108" s="1">
        <v>2019</v>
      </c>
      <c r="Y108" s="1" t="s">
        <v>608</v>
      </c>
      <c r="Z108" s="1">
        <v>2020</v>
      </c>
      <c r="AA108" s="1">
        <v>2021</v>
      </c>
      <c r="AB108" s="1" t="s">
        <v>608</v>
      </c>
      <c r="AC108" s="1">
        <v>2023</v>
      </c>
      <c r="AD108" s="1" t="s">
        <v>481</v>
      </c>
    </row>
    <row r="109" spans="1:30" ht="101.25" x14ac:dyDescent="0.2">
      <c r="A109" s="1" t="s">
        <v>16</v>
      </c>
      <c r="B109" s="1" t="s">
        <v>340</v>
      </c>
      <c r="C109" s="5" t="s">
        <v>250</v>
      </c>
      <c r="D109" s="1" t="s">
        <v>12</v>
      </c>
      <c r="E109" s="11">
        <v>8.3000000000000007</v>
      </c>
      <c r="F109" s="1" t="s">
        <v>606</v>
      </c>
      <c r="G109" s="12">
        <v>210.50917279832208</v>
      </c>
      <c r="H109" s="1" t="s">
        <v>12</v>
      </c>
      <c r="I109" s="1" t="s">
        <v>164</v>
      </c>
      <c r="J109" s="1" t="s">
        <v>608</v>
      </c>
      <c r="K109" s="1" t="s">
        <v>608</v>
      </c>
      <c r="L109" s="1" t="s">
        <v>608</v>
      </c>
      <c r="M109" s="1" t="s">
        <v>608</v>
      </c>
      <c r="N109" s="1" t="s">
        <v>608</v>
      </c>
      <c r="O109" s="1" t="s">
        <v>608</v>
      </c>
      <c r="P109" s="1" t="s">
        <v>608</v>
      </c>
      <c r="Q109" s="1" t="s">
        <v>608</v>
      </c>
      <c r="R109" s="1" t="s">
        <v>608</v>
      </c>
      <c r="S109" s="1" t="s">
        <v>608</v>
      </c>
      <c r="T109" s="1" t="s">
        <v>608</v>
      </c>
      <c r="U109" s="1" t="s">
        <v>608</v>
      </c>
      <c r="V109" s="33" t="s">
        <v>479</v>
      </c>
      <c r="W109" s="1">
        <v>2016</v>
      </c>
      <c r="X109" s="1">
        <v>2019</v>
      </c>
      <c r="Y109" s="1" t="s">
        <v>608</v>
      </c>
      <c r="Z109" s="1">
        <v>2020</v>
      </c>
      <c r="AA109" s="1">
        <v>2021</v>
      </c>
      <c r="AB109" s="1" t="s">
        <v>608</v>
      </c>
      <c r="AC109" s="1">
        <v>2023</v>
      </c>
      <c r="AD109" s="1" t="s">
        <v>481</v>
      </c>
    </row>
    <row r="110" spans="1:30" ht="67.5" x14ac:dyDescent="0.2">
      <c r="A110" s="1" t="s">
        <v>16</v>
      </c>
      <c r="B110" s="1" t="s">
        <v>341</v>
      </c>
      <c r="C110" s="5" t="s">
        <v>251</v>
      </c>
      <c r="D110" s="1" t="s">
        <v>12</v>
      </c>
      <c r="E110" s="11">
        <v>6.7</v>
      </c>
      <c r="F110" s="1" t="s">
        <v>606</v>
      </c>
      <c r="G110" s="12">
        <v>192.00937653664914</v>
      </c>
      <c r="H110" s="1" t="s">
        <v>12</v>
      </c>
      <c r="I110" s="1" t="s">
        <v>164</v>
      </c>
      <c r="J110" s="1" t="s">
        <v>608</v>
      </c>
      <c r="K110" s="1" t="s">
        <v>608</v>
      </c>
      <c r="L110" s="1" t="s">
        <v>608</v>
      </c>
      <c r="M110" s="1" t="s">
        <v>608</v>
      </c>
      <c r="N110" s="1" t="s">
        <v>608</v>
      </c>
      <c r="O110" s="1" t="s">
        <v>608</v>
      </c>
      <c r="P110" s="1" t="s">
        <v>608</v>
      </c>
      <c r="Q110" s="1" t="s">
        <v>608</v>
      </c>
      <c r="R110" s="1" t="s">
        <v>608</v>
      </c>
      <c r="S110" s="1" t="s">
        <v>608</v>
      </c>
      <c r="T110" s="1" t="s">
        <v>608</v>
      </c>
      <c r="U110" s="1" t="s">
        <v>608</v>
      </c>
      <c r="V110" s="33" t="s">
        <v>479</v>
      </c>
      <c r="W110" s="1">
        <v>2016</v>
      </c>
      <c r="X110" s="1">
        <v>2019</v>
      </c>
      <c r="Y110" s="1" t="s">
        <v>608</v>
      </c>
      <c r="Z110" s="1">
        <v>2020</v>
      </c>
      <c r="AA110" s="1">
        <v>2021</v>
      </c>
      <c r="AB110" s="1" t="s">
        <v>608</v>
      </c>
      <c r="AC110" s="1">
        <v>2022</v>
      </c>
      <c r="AD110" s="1" t="s">
        <v>481</v>
      </c>
    </row>
    <row r="111" spans="1:30" ht="157.5" x14ac:dyDescent="0.2">
      <c r="A111" s="1" t="s">
        <v>16</v>
      </c>
      <c r="B111" s="1" t="s">
        <v>342</v>
      </c>
      <c r="C111" s="5" t="s">
        <v>252</v>
      </c>
      <c r="D111" s="1" t="s">
        <v>12</v>
      </c>
      <c r="E111" s="11">
        <v>10.199999999999999</v>
      </c>
      <c r="F111" s="1" t="s">
        <v>606</v>
      </c>
      <c r="G111" s="12">
        <v>219.29638430592669</v>
      </c>
      <c r="H111" s="1" t="s">
        <v>12</v>
      </c>
      <c r="I111" s="1" t="s">
        <v>164</v>
      </c>
      <c r="J111" s="1" t="s">
        <v>608</v>
      </c>
      <c r="K111" s="1" t="s">
        <v>608</v>
      </c>
      <c r="L111" s="1" t="s">
        <v>608</v>
      </c>
      <c r="M111" s="1" t="s">
        <v>608</v>
      </c>
      <c r="N111" s="1" t="s">
        <v>608</v>
      </c>
      <c r="O111" s="1" t="s">
        <v>608</v>
      </c>
      <c r="P111" s="1" t="s">
        <v>608</v>
      </c>
      <c r="Q111" s="1" t="s">
        <v>608</v>
      </c>
      <c r="R111" s="1" t="s">
        <v>608</v>
      </c>
      <c r="S111" s="1" t="s">
        <v>608</v>
      </c>
      <c r="T111" s="1" t="s">
        <v>608</v>
      </c>
      <c r="U111" s="1" t="s">
        <v>608</v>
      </c>
      <c r="V111" s="33" t="s">
        <v>479</v>
      </c>
      <c r="W111" s="1">
        <v>2016</v>
      </c>
      <c r="X111" s="1">
        <v>2019</v>
      </c>
      <c r="Y111" s="1" t="s">
        <v>608</v>
      </c>
      <c r="Z111" s="1">
        <v>2020</v>
      </c>
      <c r="AA111" s="1">
        <v>2021</v>
      </c>
      <c r="AB111" s="1" t="s">
        <v>608</v>
      </c>
      <c r="AC111" s="1">
        <v>2023</v>
      </c>
      <c r="AD111" s="1" t="s">
        <v>481</v>
      </c>
    </row>
    <row r="112" spans="1:30" ht="56.25" x14ac:dyDescent="0.2">
      <c r="A112" s="1" t="s">
        <v>16</v>
      </c>
      <c r="B112" s="1" t="s">
        <v>343</v>
      </c>
      <c r="C112" s="5" t="s">
        <v>607</v>
      </c>
      <c r="D112" s="1" t="s">
        <v>12</v>
      </c>
      <c r="E112" s="11">
        <v>8</v>
      </c>
      <c r="F112" s="1" t="s">
        <v>606</v>
      </c>
      <c r="G112" s="12" t="s">
        <v>606</v>
      </c>
      <c r="H112" s="1" t="s">
        <v>12</v>
      </c>
      <c r="I112" s="1" t="s">
        <v>164</v>
      </c>
      <c r="J112" s="1" t="s">
        <v>608</v>
      </c>
      <c r="K112" s="1" t="s">
        <v>608</v>
      </c>
      <c r="L112" s="1" t="s">
        <v>608</v>
      </c>
      <c r="M112" s="1" t="s">
        <v>608</v>
      </c>
      <c r="N112" s="1" t="s">
        <v>608</v>
      </c>
      <c r="O112" s="1" t="s">
        <v>608</v>
      </c>
      <c r="P112" s="1" t="s">
        <v>608</v>
      </c>
      <c r="Q112" s="1" t="s">
        <v>608</v>
      </c>
      <c r="R112" s="1" t="s">
        <v>608</v>
      </c>
      <c r="S112" s="1" t="s">
        <v>608</v>
      </c>
      <c r="T112" s="1" t="s">
        <v>608</v>
      </c>
      <c r="U112" s="1" t="s">
        <v>608</v>
      </c>
      <c r="V112" s="33" t="s">
        <v>479</v>
      </c>
      <c r="W112" s="40">
        <v>2016</v>
      </c>
      <c r="X112" s="40">
        <v>2017</v>
      </c>
      <c r="Y112" s="14" t="s">
        <v>608</v>
      </c>
      <c r="Z112" s="40">
        <v>2018</v>
      </c>
      <c r="AA112" s="40">
        <v>2020</v>
      </c>
      <c r="AB112" s="14" t="s">
        <v>608</v>
      </c>
      <c r="AC112" s="40">
        <v>2021</v>
      </c>
      <c r="AD112" s="1" t="s">
        <v>481</v>
      </c>
    </row>
    <row r="113" spans="1:30" ht="90" x14ac:dyDescent="0.2">
      <c r="A113" s="1" t="s">
        <v>16</v>
      </c>
      <c r="B113" s="1" t="s">
        <v>344</v>
      </c>
      <c r="C113" s="5" t="s">
        <v>253</v>
      </c>
      <c r="D113" s="1" t="s">
        <v>12</v>
      </c>
      <c r="E113" s="11">
        <v>0.3</v>
      </c>
      <c r="F113" s="1" t="s">
        <v>606</v>
      </c>
      <c r="G113" s="12">
        <v>75</v>
      </c>
      <c r="H113" s="1" t="s">
        <v>12</v>
      </c>
      <c r="I113" s="1" t="s">
        <v>164</v>
      </c>
      <c r="J113" s="1" t="s">
        <v>608</v>
      </c>
      <c r="K113" s="1" t="s">
        <v>608</v>
      </c>
      <c r="L113" s="1" t="s">
        <v>608</v>
      </c>
      <c r="M113" s="1" t="s">
        <v>608</v>
      </c>
      <c r="N113" s="1" t="s">
        <v>608</v>
      </c>
      <c r="O113" s="1" t="s">
        <v>608</v>
      </c>
      <c r="P113" s="1" t="s">
        <v>608</v>
      </c>
      <c r="Q113" s="1" t="s">
        <v>608</v>
      </c>
      <c r="R113" s="1" t="s">
        <v>608</v>
      </c>
      <c r="S113" s="1" t="s">
        <v>608</v>
      </c>
      <c r="T113" s="1" t="s">
        <v>608</v>
      </c>
      <c r="U113" s="1" t="s">
        <v>608</v>
      </c>
      <c r="V113" s="33" t="s">
        <v>479</v>
      </c>
      <c r="W113" s="1">
        <v>2016</v>
      </c>
      <c r="X113" s="1">
        <v>2019</v>
      </c>
      <c r="Y113" s="1" t="s">
        <v>608</v>
      </c>
      <c r="Z113" s="1">
        <v>2020</v>
      </c>
      <c r="AA113" s="1">
        <v>2021</v>
      </c>
      <c r="AB113" s="1" t="s">
        <v>608</v>
      </c>
      <c r="AC113" s="1" t="s">
        <v>606</v>
      </c>
      <c r="AD113" s="1" t="s">
        <v>481</v>
      </c>
    </row>
    <row r="114" spans="1:30" ht="90" x14ac:dyDescent="0.2">
      <c r="A114" s="46" t="s">
        <v>16</v>
      </c>
      <c r="B114" s="46" t="s">
        <v>345</v>
      </c>
      <c r="C114" s="47" t="s">
        <v>254</v>
      </c>
      <c r="D114" s="46" t="s">
        <v>12</v>
      </c>
      <c r="E114" s="49">
        <v>10</v>
      </c>
      <c r="F114" s="46" t="s">
        <v>606</v>
      </c>
      <c r="G114" s="48">
        <v>151.86268209313144</v>
      </c>
      <c r="H114" s="46" t="s">
        <v>12</v>
      </c>
      <c r="I114" s="46" t="s">
        <v>164</v>
      </c>
      <c r="J114" s="46" t="s">
        <v>608</v>
      </c>
      <c r="K114" s="46" t="s">
        <v>608</v>
      </c>
      <c r="L114" s="46" t="s">
        <v>608</v>
      </c>
      <c r="M114" s="46" t="s">
        <v>608</v>
      </c>
      <c r="N114" s="46" t="s">
        <v>608</v>
      </c>
      <c r="O114" s="46" t="s">
        <v>608</v>
      </c>
      <c r="P114" s="46" t="s">
        <v>608</v>
      </c>
      <c r="Q114" s="46" t="s">
        <v>608</v>
      </c>
      <c r="R114" s="46" t="s">
        <v>608</v>
      </c>
      <c r="S114" s="46" t="s">
        <v>608</v>
      </c>
      <c r="T114" s="46" t="s">
        <v>608</v>
      </c>
      <c r="U114" s="46" t="s">
        <v>608</v>
      </c>
      <c r="V114" s="46" t="s">
        <v>479</v>
      </c>
      <c r="W114" s="46">
        <v>2018</v>
      </c>
      <c r="X114" s="46">
        <v>2020</v>
      </c>
      <c r="Y114" s="46" t="s">
        <v>608</v>
      </c>
      <c r="Z114" s="46">
        <v>2021</v>
      </c>
      <c r="AA114" s="46">
        <v>2021</v>
      </c>
      <c r="AB114" s="46" t="s">
        <v>608</v>
      </c>
      <c r="AC114" s="40">
        <v>2024</v>
      </c>
      <c r="AD114" s="46" t="s">
        <v>481</v>
      </c>
    </row>
    <row r="115" spans="1:30" ht="78.75" x14ac:dyDescent="0.2">
      <c r="A115" s="1" t="s">
        <v>16</v>
      </c>
      <c r="B115" s="1" t="s">
        <v>346</v>
      </c>
      <c r="C115" s="5" t="s">
        <v>255</v>
      </c>
      <c r="D115" s="1" t="s">
        <v>12</v>
      </c>
      <c r="E115" s="11">
        <v>5.9</v>
      </c>
      <c r="F115" s="1" t="s">
        <v>606</v>
      </c>
      <c r="G115" s="12">
        <v>1331</v>
      </c>
      <c r="H115" s="1" t="s">
        <v>12</v>
      </c>
      <c r="I115" s="1" t="s">
        <v>164</v>
      </c>
      <c r="J115" s="1" t="s">
        <v>608</v>
      </c>
      <c r="K115" s="1" t="s">
        <v>608</v>
      </c>
      <c r="L115" s="1" t="s">
        <v>608</v>
      </c>
      <c r="M115" s="1" t="s">
        <v>608</v>
      </c>
      <c r="N115" s="1" t="s">
        <v>608</v>
      </c>
      <c r="O115" s="1" t="s">
        <v>608</v>
      </c>
      <c r="P115" s="1" t="s">
        <v>608</v>
      </c>
      <c r="Q115" s="1" t="s">
        <v>608</v>
      </c>
      <c r="R115" s="1" t="s">
        <v>608</v>
      </c>
      <c r="S115" s="1" t="s">
        <v>608</v>
      </c>
      <c r="T115" s="1" t="s">
        <v>608</v>
      </c>
      <c r="U115" s="1" t="s">
        <v>608</v>
      </c>
      <c r="V115" s="33" t="s">
        <v>479</v>
      </c>
      <c r="W115" s="1">
        <v>2016</v>
      </c>
      <c r="X115" s="1">
        <v>2019</v>
      </c>
      <c r="Y115" s="1" t="s">
        <v>608</v>
      </c>
      <c r="Z115" s="1">
        <v>2020</v>
      </c>
      <c r="AA115" s="1">
        <v>2021</v>
      </c>
      <c r="AB115" s="1" t="s">
        <v>608</v>
      </c>
      <c r="AC115" s="1">
        <v>2022</v>
      </c>
      <c r="AD115" s="1" t="s">
        <v>481</v>
      </c>
    </row>
    <row r="116" spans="1:30" ht="101.25" x14ac:dyDescent="0.2">
      <c r="A116" s="1" t="s">
        <v>16</v>
      </c>
      <c r="B116" s="1" t="s">
        <v>347</v>
      </c>
      <c r="C116" s="5" t="s">
        <v>256</v>
      </c>
      <c r="D116" s="1" t="s">
        <v>12</v>
      </c>
      <c r="E116" s="11">
        <v>7.7</v>
      </c>
      <c r="F116" s="1" t="s">
        <v>606</v>
      </c>
      <c r="G116" s="12">
        <v>682.51294920635632</v>
      </c>
      <c r="H116" s="1" t="s">
        <v>12</v>
      </c>
      <c r="I116" s="1" t="s">
        <v>164</v>
      </c>
      <c r="J116" s="1" t="s">
        <v>608</v>
      </c>
      <c r="K116" s="1" t="s">
        <v>608</v>
      </c>
      <c r="L116" s="1" t="s">
        <v>608</v>
      </c>
      <c r="M116" s="1" t="s">
        <v>608</v>
      </c>
      <c r="N116" s="1" t="s">
        <v>608</v>
      </c>
      <c r="O116" s="1" t="s">
        <v>608</v>
      </c>
      <c r="P116" s="1" t="s">
        <v>608</v>
      </c>
      <c r="Q116" s="1" t="s">
        <v>608</v>
      </c>
      <c r="R116" s="1" t="s">
        <v>608</v>
      </c>
      <c r="S116" s="1" t="s">
        <v>608</v>
      </c>
      <c r="T116" s="1" t="s">
        <v>608</v>
      </c>
      <c r="U116" s="1" t="s">
        <v>608</v>
      </c>
      <c r="V116" s="33" t="s">
        <v>479</v>
      </c>
      <c r="W116" s="1">
        <v>2016</v>
      </c>
      <c r="X116" s="1">
        <v>2019</v>
      </c>
      <c r="Y116" s="1" t="s">
        <v>608</v>
      </c>
      <c r="Z116" s="1">
        <v>2020</v>
      </c>
      <c r="AA116" s="1">
        <v>2021</v>
      </c>
      <c r="AB116" s="1" t="s">
        <v>608</v>
      </c>
      <c r="AC116" s="1">
        <v>2023</v>
      </c>
      <c r="AD116" s="1" t="s">
        <v>481</v>
      </c>
    </row>
    <row r="117" spans="1:30" ht="67.5" x14ac:dyDescent="0.2">
      <c r="A117" s="1" t="s">
        <v>16</v>
      </c>
      <c r="B117" s="1" t="s">
        <v>348</v>
      </c>
      <c r="C117" s="5" t="s">
        <v>257</v>
      </c>
      <c r="D117" s="1" t="s">
        <v>12</v>
      </c>
      <c r="E117" s="11">
        <v>3</v>
      </c>
      <c r="F117" s="1" t="s">
        <v>606</v>
      </c>
      <c r="G117" s="12" t="s">
        <v>606</v>
      </c>
      <c r="H117" s="1" t="s">
        <v>12</v>
      </c>
      <c r="I117" s="1" t="s">
        <v>164</v>
      </c>
      <c r="J117" s="1" t="s">
        <v>608</v>
      </c>
      <c r="K117" s="1" t="s">
        <v>608</v>
      </c>
      <c r="L117" s="1" t="s">
        <v>608</v>
      </c>
      <c r="M117" s="1" t="s">
        <v>608</v>
      </c>
      <c r="N117" s="1" t="s">
        <v>608</v>
      </c>
      <c r="O117" s="1" t="s">
        <v>608</v>
      </c>
      <c r="P117" s="1" t="s">
        <v>608</v>
      </c>
      <c r="Q117" s="1" t="s">
        <v>608</v>
      </c>
      <c r="R117" s="1" t="s">
        <v>608</v>
      </c>
      <c r="S117" s="1" t="s">
        <v>608</v>
      </c>
      <c r="T117" s="1" t="s">
        <v>608</v>
      </c>
      <c r="U117" s="1" t="s">
        <v>608</v>
      </c>
      <c r="V117" s="33" t="s">
        <v>479</v>
      </c>
      <c r="W117" s="1">
        <v>2016</v>
      </c>
      <c r="X117" s="1">
        <v>2020</v>
      </c>
      <c r="Y117" s="1" t="s">
        <v>608</v>
      </c>
      <c r="Z117" s="1">
        <v>2020</v>
      </c>
      <c r="AA117" s="1">
        <v>2021</v>
      </c>
      <c r="AB117" s="1" t="s">
        <v>608</v>
      </c>
      <c r="AC117" s="1">
        <v>2023</v>
      </c>
      <c r="AD117" s="1" t="s">
        <v>481</v>
      </c>
    </row>
    <row r="118" spans="1:30" ht="56.25" x14ac:dyDescent="0.2">
      <c r="A118" s="1" t="s">
        <v>16</v>
      </c>
      <c r="B118" s="1" t="s">
        <v>15</v>
      </c>
      <c r="C118" s="5" t="s">
        <v>493</v>
      </c>
      <c r="D118" s="1" t="s">
        <v>12</v>
      </c>
      <c r="E118" s="11">
        <v>0.5</v>
      </c>
      <c r="F118" s="1" t="s">
        <v>606</v>
      </c>
      <c r="G118" s="12">
        <v>13.281028940993506</v>
      </c>
      <c r="H118" s="1" t="s">
        <v>12</v>
      </c>
      <c r="I118" s="1" t="s">
        <v>164</v>
      </c>
      <c r="J118" s="1">
        <v>7.9368237300000004</v>
      </c>
      <c r="K118" s="1">
        <f>L118+M118+N118+O118+P118+Q118+R118</f>
        <v>7.9368237400000003</v>
      </c>
      <c r="L118" s="1">
        <v>0</v>
      </c>
      <c r="M118" s="1">
        <v>0</v>
      </c>
      <c r="N118" s="1">
        <v>4.7659000000000004E-4</v>
      </c>
      <c r="O118" s="1">
        <v>0.79449557999999998</v>
      </c>
      <c r="P118" s="1">
        <v>3.9716000000000003E-4</v>
      </c>
      <c r="Q118" s="1">
        <v>7.1414544100000006</v>
      </c>
      <c r="R118" s="1">
        <v>0</v>
      </c>
      <c r="S118" s="1">
        <v>0</v>
      </c>
      <c r="T118" s="1">
        <v>0</v>
      </c>
      <c r="U118" s="1">
        <v>0</v>
      </c>
      <c r="V118" s="33" t="s">
        <v>479</v>
      </c>
      <c r="W118" s="1">
        <v>2024</v>
      </c>
      <c r="X118" s="40">
        <v>2026</v>
      </c>
      <c r="Y118" s="1">
        <v>0.79497216999999998</v>
      </c>
      <c r="Z118" s="1">
        <v>2026</v>
      </c>
      <c r="AA118" s="1">
        <v>2027</v>
      </c>
      <c r="AB118" s="1">
        <v>7.1416372299999997</v>
      </c>
      <c r="AC118" s="1">
        <v>2028</v>
      </c>
      <c r="AD118" s="1" t="s">
        <v>481</v>
      </c>
    </row>
    <row r="119" spans="1:30" ht="56.25" x14ac:dyDescent="0.2">
      <c r="A119" s="1" t="s">
        <v>16</v>
      </c>
      <c r="B119" s="1" t="s">
        <v>349</v>
      </c>
      <c r="C119" s="5" t="s">
        <v>494</v>
      </c>
      <c r="D119" s="1" t="s">
        <v>12</v>
      </c>
      <c r="E119" s="11">
        <v>1.387</v>
      </c>
      <c r="F119" s="1" t="s">
        <v>606</v>
      </c>
      <c r="G119" s="12">
        <v>105.99244654584233</v>
      </c>
      <c r="H119" s="1" t="s">
        <v>12</v>
      </c>
      <c r="I119" s="1" t="s">
        <v>164</v>
      </c>
      <c r="J119" s="26">
        <v>23.133815159999997</v>
      </c>
      <c r="K119" s="26">
        <f t="shared" ref="K119:K182" si="18">L119+M119+N119+O119+P119+Q119+R119</f>
        <v>23.133815149999997</v>
      </c>
      <c r="L119" s="1">
        <v>0</v>
      </c>
      <c r="M119" s="1">
        <v>0</v>
      </c>
      <c r="N119" s="26">
        <v>1.5496300000000002E-3</v>
      </c>
      <c r="O119" s="26">
        <v>2.9354911599999998</v>
      </c>
      <c r="P119" s="26">
        <v>0.56080430000000003</v>
      </c>
      <c r="Q119" s="26">
        <v>19.635970059999998</v>
      </c>
      <c r="R119" s="26">
        <v>0</v>
      </c>
      <c r="S119" s="1">
        <v>0</v>
      </c>
      <c r="T119" s="1">
        <v>0</v>
      </c>
      <c r="U119" s="1">
        <v>0</v>
      </c>
      <c r="V119" s="33" t="s">
        <v>479</v>
      </c>
      <c r="W119" s="1">
        <v>2024</v>
      </c>
      <c r="X119" s="40">
        <v>2026</v>
      </c>
      <c r="Y119" s="1">
        <v>2.3772695699999997</v>
      </c>
      <c r="Z119" s="1">
        <v>2026</v>
      </c>
      <c r="AA119" s="1">
        <v>2027</v>
      </c>
      <c r="AB119" s="1">
        <v>19.636064650000002</v>
      </c>
      <c r="AC119" s="1">
        <v>2028</v>
      </c>
      <c r="AD119" s="1" t="s">
        <v>481</v>
      </c>
    </row>
    <row r="120" spans="1:30" ht="56.25" x14ac:dyDescent="0.2">
      <c r="A120" s="1" t="s">
        <v>16</v>
      </c>
      <c r="B120" s="1" t="s">
        <v>350</v>
      </c>
      <c r="C120" s="5" t="s">
        <v>495</v>
      </c>
      <c r="D120" s="1" t="s">
        <v>12</v>
      </c>
      <c r="E120" s="11">
        <v>3.3</v>
      </c>
      <c r="F120" s="1" t="s">
        <v>606</v>
      </c>
      <c r="G120" s="12">
        <v>18.777611878350367</v>
      </c>
      <c r="H120" s="1" t="s">
        <v>12</v>
      </c>
      <c r="I120" s="1" t="s">
        <v>164</v>
      </c>
      <c r="J120" s="26">
        <v>52.371000000000009</v>
      </c>
      <c r="K120" s="26">
        <f t="shared" si="18"/>
        <v>52.370997379999999</v>
      </c>
      <c r="L120" s="1">
        <v>0</v>
      </c>
      <c r="M120" s="1">
        <v>0</v>
      </c>
      <c r="N120" s="26">
        <v>3.7610999999999994E-3</v>
      </c>
      <c r="O120" s="26">
        <v>4.2319897600000003</v>
      </c>
      <c r="P120" s="26">
        <v>0.27429168000000004</v>
      </c>
      <c r="Q120" s="26">
        <v>47.860954839999998</v>
      </c>
      <c r="R120" s="26">
        <v>0</v>
      </c>
      <c r="S120" s="1">
        <v>0</v>
      </c>
      <c r="T120" s="1">
        <v>0</v>
      </c>
      <c r="U120" s="1">
        <v>0</v>
      </c>
      <c r="V120" s="33" t="s">
        <v>479</v>
      </c>
      <c r="W120" s="1">
        <v>2024</v>
      </c>
      <c r="X120" s="40">
        <v>2026</v>
      </c>
      <c r="Y120" s="1">
        <v>4.23888511</v>
      </c>
      <c r="Z120" s="1">
        <v>2026</v>
      </c>
      <c r="AA120" s="1">
        <v>2027</v>
      </c>
      <c r="AB120" s="1">
        <v>48.13377551</v>
      </c>
      <c r="AC120" s="1">
        <v>2028</v>
      </c>
      <c r="AD120" s="1" t="s">
        <v>481</v>
      </c>
    </row>
    <row r="121" spans="1:30" ht="56.25" x14ac:dyDescent="0.2">
      <c r="A121" s="1" t="s">
        <v>16</v>
      </c>
      <c r="B121" s="1" t="s">
        <v>351</v>
      </c>
      <c r="C121" s="5" t="s">
        <v>496</v>
      </c>
      <c r="D121" s="1" t="s">
        <v>12</v>
      </c>
      <c r="E121" s="11">
        <v>3.52</v>
      </c>
      <c r="F121" s="1" t="s">
        <v>606</v>
      </c>
      <c r="G121" s="12">
        <v>35.94375031490307</v>
      </c>
      <c r="H121" s="1" t="s">
        <v>12</v>
      </c>
      <c r="I121" s="1" t="s">
        <v>164</v>
      </c>
      <c r="J121" s="26">
        <v>55.862400000000008</v>
      </c>
      <c r="K121" s="26">
        <f t="shared" si="18"/>
        <v>55.862400000000008</v>
      </c>
      <c r="L121" s="1">
        <v>0</v>
      </c>
      <c r="M121" s="1">
        <v>0</v>
      </c>
      <c r="N121" s="26">
        <v>1.195922E-2</v>
      </c>
      <c r="O121" s="26">
        <v>4.4998192500000007</v>
      </c>
      <c r="P121" s="26">
        <v>0.28369344000000002</v>
      </c>
      <c r="Q121" s="26">
        <v>51.066928090000005</v>
      </c>
      <c r="R121" s="26">
        <v>0</v>
      </c>
      <c r="S121" s="1">
        <v>0</v>
      </c>
      <c r="T121" s="1">
        <v>0</v>
      </c>
      <c r="U121" s="1">
        <v>0</v>
      </c>
      <c r="V121" s="33" t="s">
        <v>479</v>
      </c>
      <c r="W121" s="1">
        <v>2024</v>
      </c>
      <c r="X121" s="40">
        <v>2026</v>
      </c>
      <c r="Y121" s="1">
        <v>4.5217444899999997</v>
      </c>
      <c r="Z121" s="1">
        <v>2026</v>
      </c>
      <c r="AA121" s="1">
        <v>2027</v>
      </c>
      <c r="AB121" s="1">
        <v>51.342445150000003</v>
      </c>
      <c r="AC121" s="1">
        <v>2028</v>
      </c>
      <c r="AD121" s="1" t="s">
        <v>481</v>
      </c>
    </row>
    <row r="122" spans="1:30" ht="56.25" x14ac:dyDescent="0.2">
      <c r="A122" s="1" t="s">
        <v>16</v>
      </c>
      <c r="B122" s="1" t="s">
        <v>352</v>
      </c>
      <c r="C122" s="5" t="s">
        <v>497</v>
      </c>
      <c r="D122" s="1" t="s">
        <v>12</v>
      </c>
      <c r="E122" s="11">
        <v>1.48</v>
      </c>
      <c r="F122" s="1" t="s">
        <v>606</v>
      </c>
      <c r="G122" s="12">
        <v>63.8358719683266</v>
      </c>
      <c r="H122" s="1" t="s">
        <v>12</v>
      </c>
      <c r="I122" s="1" t="s">
        <v>164</v>
      </c>
      <c r="J122" s="26">
        <v>24.605288959999999</v>
      </c>
      <c r="K122" s="26">
        <f t="shared" si="18"/>
        <v>24.605288980000001</v>
      </c>
      <c r="L122" s="1">
        <v>0</v>
      </c>
      <c r="M122" s="1">
        <v>0</v>
      </c>
      <c r="N122" s="26">
        <v>1.6591900000000001E-3</v>
      </c>
      <c r="O122" s="26">
        <v>3.1073674799999997</v>
      </c>
      <c r="P122" s="26">
        <v>0.55856795999999997</v>
      </c>
      <c r="Q122" s="26">
        <v>20.937694350000001</v>
      </c>
      <c r="R122" s="26">
        <v>0</v>
      </c>
      <c r="S122" s="1">
        <v>0</v>
      </c>
      <c r="T122" s="1">
        <v>0</v>
      </c>
      <c r="U122" s="1">
        <v>0</v>
      </c>
      <c r="V122" s="33" t="s">
        <v>479</v>
      </c>
      <c r="W122" s="1">
        <v>2024</v>
      </c>
      <c r="X122" s="40">
        <v>2026</v>
      </c>
      <c r="Y122" s="1">
        <v>2.5515648199999994</v>
      </c>
      <c r="Z122" s="1">
        <v>2026</v>
      </c>
      <c r="AA122" s="1">
        <v>2027</v>
      </c>
      <c r="AB122" s="1">
        <v>20.93768536</v>
      </c>
      <c r="AC122" s="1">
        <v>2028</v>
      </c>
      <c r="AD122" s="1" t="s">
        <v>481</v>
      </c>
    </row>
    <row r="123" spans="1:30" ht="56.25" x14ac:dyDescent="0.2">
      <c r="A123" s="1" t="s">
        <v>16</v>
      </c>
      <c r="B123" s="1" t="s">
        <v>353</v>
      </c>
      <c r="C123" s="5" t="s">
        <v>498</v>
      </c>
      <c r="D123" s="1" t="s">
        <v>12</v>
      </c>
      <c r="E123" s="11">
        <v>3.42</v>
      </c>
      <c r="F123" s="1" t="s">
        <v>606</v>
      </c>
      <c r="G123" s="12">
        <v>44.161765880062887</v>
      </c>
      <c r="H123" s="1" t="s">
        <v>12</v>
      </c>
      <c r="I123" s="1" t="s">
        <v>164</v>
      </c>
      <c r="J123" s="26">
        <v>54.275400000000005</v>
      </c>
      <c r="K123" s="26">
        <f t="shared" si="18"/>
        <v>54.275400010000006</v>
      </c>
      <c r="L123" s="1">
        <v>0</v>
      </c>
      <c r="M123" s="1">
        <v>0</v>
      </c>
      <c r="N123" s="26">
        <v>3.8989300000000001E-3</v>
      </c>
      <c r="O123" s="26">
        <v>4.3797142100000004</v>
      </c>
      <c r="P123" s="26">
        <v>0.28386245999999998</v>
      </c>
      <c r="Q123" s="26">
        <v>49.607924410000003</v>
      </c>
      <c r="R123" s="26">
        <v>0</v>
      </c>
      <c r="S123" s="1">
        <v>0</v>
      </c>
      <c r="T123" s="1">
        <v>0</v>
      </c>
      <c r="U123" s="1">
        <v>0</v>
      </c>
      <c r="V123" s="33" t="s">
        <v>479</v>
      </c>
      <c r="W123" s="1">
        <v>2024</v>
      </c>
      <c r="X123" s="40">
        <v>2026</v>
      </c>
      <c r="Y123" s="1">
        <v>4.3868622500000001</v>
      </c>
      <c r="Z123" s="1">
        <v>2026</v>
      </c>
      <c r="AA123" s="1">
        <v>2027</v>
      </c>
      <c r="AB123" s="1">
        <v>49.890304409999999</v>
      </c>
      <c r="AC123" s="1">
        <v>2028</v>
      </c>
      <c r="AD123" s="1" t="s">
        <v>481</v>
      </c>
    </row>
    <row r="124" spans="1:30" ht="56.25" x14ac:dyDescent="0.2">
      <c r="A124" s="1" t="s">
        <v>16</v>
      </c>
      <c r="B124" s="1" t="s">
        <v>354</v>
      </c>
      <c r="C124" s="5" t="s">
        <v>499</v>
      </c>
      <c r="D124" s="1" t="s">
        <v>12</v>
      </c>
      <c r="E124" s="11">
        <v>1.6259999999999999</v>
      </c>
      <c r="F124" s="1" t="s">
        <v>606</v>
      </c>
      <c r="G124" s="12">
        <v>57.010582945813255</v>
      </c>
      <c r="H124" s="1" t="s">
        <v>12</v>
      </c>
      <c r="I124" s="1" t="s">
        <v>164</v>
      </c>
      <c r="J124" s="26">
        <v>25.80462</v>
      </c>
      <c r="K124" s="26">
        <f t="shared" si="18"/>
        <v>25.804619989999999</v>
      </c>
      <c r="L124" s="1">
        <v>0</v>
      </c>
      <c r="M124" s="1">
        <v>0</v>
      </c>
      <c r="N124" s="26">
        <v>1.8287500000000001E-3</v>
      </c>
      <c r="O124" s="26">
        <v>2.53942018</v>
      </c>
      <c r="P124" s="26">
        <v>0.16501934999999998</v>
      </c>
      <c r="Q124" s="26">
        <v>23.098351709999999</v>
      </c>
      <c r="R124" s="26">
        <v>0</v>
      </c>
      <c r="S124" s="1">
        <v>0</v>
      </c>
      <c r="T124" s="1">
        <v>0</v>
      </c>
      <c r="U124" s="1">
        <v>0</v>
      </c>
      <c r="V124" s="33" t="s">
        <v>479</v>
      </c>
      <c r="W124" s="1">
        <v>2024</v>
      </c>
      <c r="X124" s="40">
        <v>2026</v>
      </c>
      <c r="Y124" s="1">
        <v>2.5427729000000001</v>
      </c>
      <c r="Z124" s="1">
        <v>2026</v>
      </c>
      <c r="AA124" s="1">
        <v>2027</v>
      </c>
      <c r="AB124" s="1">
        <v>23.263478969999998</v>
      </c>
      <c r="AC124" s="1">
        <v>2028</v>
      </c>
      <c r="AD124" s="1" t="s">
        <v>481</v>
      </c>
    </row>
    <row r="125" spans="1:30" ht="56.25" x14ac:dyDescent="0.2">
      <c r="A125" s="1" t="s">
        <v>16</v>
      </c>
      <c r="B125" s="1" t="s">
        <v>355</v>
      </c>
      <c r="C125" s="5" t="s">
        <v>500</v>
      </c>
      <c r="D125" s="1" t="s">
        <v>12</v>
      </c>
      <c r="E125" s="11">
        <v>0.95799999999999996</v>
      </c>
      <c r="F125" s="1" t="s">
        <v>606</v>
      </c>
      <c r="G125" s="12">
        <v>65.254516321883173</v>
      </c>
      <c r="H125" s="1" t="s">
        <v>12</v>
      </c>
      <c r="I125" s="1" t="s">
        <v>164</v>
      </c>
      <c r="J125" s="26">
        <v>15.982829859999997</v>
      </c>
      <c r="K125" s="26">
        <f t="shared" si="18"/>
        <v>15.98282987</v>
      </c>
      <c r="L125" s="1">
        <v>0</v>
      </c>
      <c r="M125" s="1">
        <v>0</v>
      </c>
      <c r="N125" s="26">
        <v>1.0815199999999999E-3</v>
      </c>
      <c r="O125" s="26">
        <v>2.0920070100000001</v>
      </c>
      <c r="P125" s="26">
        <v>0.38950467999999999</v>
      </c>
      <c r="Q125" s="26">
        <v>13.500236660000001</v>
      </c>
      <c r="R125" s="26">
        <v>0</v>
      </c>
      <c r="S125" s="1">
        <v>0</v>
      </c>
      <c r="T125" s="1">
        <v>0</v>
      </c>
      <c r="U125" s="1">
        <v>0</v>
      </c>
      <c r="V125" s="33" t="s">
        <v>479</v>
      </c>
      <c r="W125" s="1">
        <v>2024</v>
      </c>
      <c r="X125" s="40">
        <v>2026</v>
      </c>
      <c r="Y125" s="1">
        <v>1.70430485</v>
      </c>
      <c r="Z125" s="1">
        <v>2026</v>
      </c>
      <c r="AA125" s="1">
        <v>2027</v>
      </c>
      <c r="AB125" s="1">
        <v>13.500740189999998</v>
      </c>
      <c r="AC125" s="1">
        <v>2028</v>
      </c>
      <c r="AD125" s="1" t="s">
        <v>481</v>
      </c>
    </row>
    <row r="126" spans="1:30" ht="45" x14ac:dyDescent="0.2">
      <c r="A126" s="1" t="s">
        <v>16</v>
      </c>
      <c r="B126" s="1" t="s">
        <v>356</v>
      </c>
      <c r="C126" s="5" t="s">
        <v>501</v>
      </c>
      <c r="D126" s="1" t="s">
        <v>12</v>
      </c>
      <c r="E126" s="41">
        <v>0.7</v>
      </c>
      <c r="F126" s="1" t="s">
        <v>606</v>
      </c>
      <c r="G126" s="12">
        <v>23.683495224486308</v>
      </c>
      <c r="H126" s="1" t="s">
        <v>12</v>
      </c>
      <c r="I126" s="1" t="s">
        <v>164</v>
      </c>
      <c r="J126" s="26">
        <v>4.0952768699999993</v>
      </c>
      <c r="K126" s="26">
        <f t="shared" si="18"/>
        <v>4.0952768700000002</v>
      </c>
      <c r="L126" s="1">
        <v>0</v>
      </c>
      <c r="M126" s="1">
        <v>4.0932768700000004</v>
      </c>
      <c r="N126" s="26">
        <v>2E-3</v>
      </c>
      <c r="O126" s="26">
        <v>0</v>
      </c>
      <c r="P126" s="26">
        <v>0</v>
      </c>
      <c r="Q126" s="26">
        <v>0</v>
      </c>
      <c r="R126" s="26">
        <v>0</v>
      </c>
      <c r="S126" s="1">
        <v>0</v>
      </c>
      <c r="T126" s="1">
        <v>0</v>
      </c>
      <c r="U126" s="1">
        <v>0</v>
      </c>
      <c r="V126" s="33" t="s">
        <v>479</v>
      </c>
      <c r="W126" s="1">
        <v>2022</v>
      </c>
      <c r="X126" s="1">
        <v>2022</v>
      </c>
      <c r="Y126" s="1">
        <v>4.9682940000000002E-2</v>
      </c>
      <c r="Z126" s="1">
        <v>2023</v>
      </c>
      <c r="AA126" s="1">
        <v>2023</v>
      </c>
      <c r="AB126" s="1">
        <v>4.0455939299999999</v>
      </c>
      <c r="AC126" s="1">
        <v>2024</v>
      </c>
      <c r="AD126" s="1" t="s">
        <v>481</v>
      </c>
    </row>
    <row r="127" spans="1:30" ht="45" x14ac:dyDescent="0.2">
      <c r="A127" s="1" t="s">
        <v>16</v>
      </c>
      <c r="B127" s="1" t="s">
        <v>357</v>
      </c>
      <c r="C127" s="5" t="s">
        <v>502</v>
      </c>
      <c r="D127" s="1" t="s">
        <v>12</v>
      </c>
      <c r="E127" s="41">
        <v>1.1000000000000001</v>
      </c>
      <c r="F127" s="1" t="s">
        <v>606</v>
      </c>
      <c r="G127" s="12">
        <v>46.979940158091658</v>
      </c>
      <c r="H127" s="1" t="s">
        <v>12</v>
      </c>
      <c r="I127" s="1" t="s">
        <v>164</v>
      </c>
      <c r="J127" s="26">
        <v>9.6193994500000013</v>
      </c>
      <c r="K127" s="26">
        <f t="shared" si="18"/>
        <v>9.6193994499999995</v>
      </c>
      <c r="L127" s="1">
        <v>0</v>
      </c>
      <c r="M127" s="1">
        <v>9.6173994499999989</v>
      </c>
      <c r="N127" s="26">
        <v>2E-3</v>
      </c>
      <c r="O127" s="26">
        <v>0</v>
      </c>
      <c r="P127" s="26">
        <v>0</v>
      </c>
      <c r="Q127" s="26">
        <v>0</v>
      </c>
      <c r="R127" s="26">
        <v>0</v>
      </c>
      <c r="S127" s="1">
        <v>0</v>
      </c>
      <c r="T127" s="1">
        <v>0</v>
      </c>
      <c r="U127" s="1">
        <v>0</v>
      </c>
      <c r="V127" s="33" t="s">
        <v>479</v>
      </c>
      <c r="W127" s="1">
        <v>2022</v>
      </c>
      <c r="X127" s="1">
        <v>2022</v>
      </c>
      <c r="Y127" s="1">
        <v>0.42815723999999999</v>
      </c>
      <c r="Z127" s="1">
        <v>2023</v>
      </c>
      <c r="AA127" s="1">
        <v>2023</v>
      </c>
      <c r="AB127" s="1">
        <v>9.1912422099999986</v>
      </c>
      <c r="AC127" s="1">
        <v>2024</v>
      </c>
      <c r="AD127" s="1" t="s">
        <v>481</v>
      </c>
    </row>
    <row r="128" spans="1:30" ht="45" x14ac:dyDescent="0.2">
      <c r="A128" s="1" t="s">
        <v>16</v>
      </c>
      <c r="B128" s="1" t="s">
        <v>358</v>
      </c>
      <c r="C128" s="5" t="s">
        <v>503</v>
      </c>
      <c r="D128" s="1" t="s">
        <v>12</v>
      </c>
      <c r="E128" s="41">
        <v>2.1</v>
      </c>
      <c r="F128" s="1" t="s">
        <v>606</v>
      </c>
      <c r="G128" s="12">
        <v>37.378973973519223</v>
      </c>
      <c r="H128" s="1" t="s">
        <v>12</v>
      </c>
      <c r="I128" s="1" t="s">
        <v>164</v>
      </c>
      <c r="J128" s="26">
        <v>11.975842100000001</v>
      </c>
      <c r="K128" s="26">
        <f t="shared" si="18"/>
        <v>11.975842099999999</v>
      </c>
      <c r="L128" s="1">
        <v>0</v>
      </c>
      <c r="M128" s="1">
        <v>11.973842099999999</v>
      </c>
      <c r="N128" s="26">
        <v>2E-3</v>
      </c>
      <c r="O128" s="26">
        <v>0</v>
      </c>
      <c r="P128" s="26">
        <v>0</v>
      </c>
      <c r="Q128" s="26">
        <v>0</v>
      </c>
      <c r="R128" s="26">
        <v>0</v>
      </c>
      <c r="S128" s="1">
        <v>0</v>
      </c>
      <c r="T128" s="1">
        <v>0</v>
      </c>
      <c r="U128" s="1">
        <v>0</v>
      </c>
      <c r="V128" s="33" t="s">
        <v>479</v>
      </c>
      <c r="W128" s="1">
        <v>2022</v>
      </c>
      <c r="X128" s="1">
        <v>2022</v>
      </c>
      <c r="Y128" s="1">
        <v>0.48381040999999997</v>
      </c>
      <c r="Z128" s="1">
        <v>2023</v>
      </c>
      <c r="AA128" s="1">
        <v>2023</v>
      </c>
      <c r="AB128" s="1">
        <v>11.492031689999999</v>
      </c>
      <c r="AC128" s="1">
        <v>2024</v>
      </c>
      <c r="AD128" s="1" t="s">
        <v>481</v>
      </c>
    </row>
    <row r="129" spans="1:30" ht="45" x14ac:dyDescent="0.2">
      <c r="A129" s="1" t="s">
        <v>16</v>
      </c>
      <c r="B129" s="1" t="s">
        <v>359</v>
      </c>
      <c r="C129" s="5" t="s">
        <v>504</v>
      </c>
      <c r="D129" s="1" t="s">
        <v>12</v>
      </c>
      <c r="E129" s="41">
        <v>0.6</v>
      </c>
      <c r="F129" s="1" t="s">
        <v>606</v>
      </c>
      <c r="G129" s="12">
        <v>43.820272737034252</v>
      </c>
      <c r="H129" s="1" t="s">
        <v>12</v>
      </c>
      <c r="I129" s="1" t="s">
        <v>164</v>
      </c>
      <c r="J129" s="26">
        <v>1.9215252199999999</v>
      </c>
      <c r="K129" s="26">
        <f t="shared" si="18"/>
        <v>1.9215252199999999</v>
      </c>
      <c r="L129" s="1">
        <v>0</v>
      </c>
      <c r="M129" s="1">
        <v>1.9195252199999999</v>
      </c>
      <c r="N129" s="26">
        <v>2E-3</v>
      </c>
      <c r="O129" s="26">
        <v>0</v>
      </c>
      <c r="P129" s="26">
        <v>0</v>
      </c>
      <c r="Q129" s="26">
        <v>0</v>
      </c>
      <c r="R129" s="26">
        <v>0</v>
      </c>
      <c r="S129" s="1">
        <v>0</v>
      </c>
      <c r="T129" s="1">
        <v>0</v>
      </c>
      <c r="U129" s="1">
        <v>0</v>
      </c>
      <c r="V129" s="33" t="s">
        <v>479</v>
      </c>
      <c r="W129" s="1">
        <v>2022</v>
      </c>
      <c r="X129" s="1">
        <v>2022</v>
      </c>
      <c r="Y129" s="1">
        <v>3.5052E-2</v>
      </c>
      <c r="Z129" s="1">
        <v>2023</v>
      </c>
      <c r="AA129" s="1">
        <v>2023</v>
      </c>
      <c r="AB129" s="1">
        <v>1.8864732199999998</v>
      </c>
      <c r="AC129" s="1">
        <v>2024</v>
      </c>
      <c r="AD129" s="1" t="s">
        <v>481</v>
      </c>
    </row>
    <row r="130" spans="1:30" ht="56.25" x14ac:dyDescent="0.2">
      <c r="A130" s="1" t="s">
        <v>16</v>
      </c>
      <c r="B130" s="1" t="s">
        <v>360</v>
      </c>
      <c r="C130" s="5" t="s">
        <v>505</v>
      </c>
      <c r="D130" s="1" t="s">
        <v>12</v>
      </c>
      <c r="E130" s="41">
        <v>5.5</v>
      </c>
      <c r="F130" s="1" t="s">
        <v>606</v>
      </c>
      <c r="G130" s="12">
        <v>130.49242580677131</v>
      </c>
      <c r="H130" s="1" t="s">
        <v>12</v>
      </c>
      <c r="I130" s="1" t="s">
        <v>164</v>
      </c>
      <c r="J130" s="26">
        <v>65.690503919999998</v>
      </c>
      <c r="K130" s="26">
        <f t="shared" si="18"/>
        <v>65.690503930000006</v>
      </c>
      <c r="L130" s="1">
        <v>2.8272747300000001</v>
      </c>
      <c r="M130" s="1">
        <v>8.6717219999999998E-2</v>
      </c>
      <c r="N130" s="26">
        <v>6.9021452000000005</v>
      </c>
      <c r="O130" s="26">
        <v>4.0445799999999999E-3</v>
      </c>
      <c r="P130" s="26">
        <v>55.870322199999997</v>
      </c>
      <c r="Q130" s="26">
        <v>0</v>
      </c>
      <c r="R130" s="26">
        <v>0</v>
      </c>
      <c r="S130" s="1">
        <v>0</v>
      </c>
      <c r="T130" s="1">
        <v>0</v>
      </c>
      <c r="U130" s="1">
        <v>0</v>
      </c>
      <c r="V130" s="33" t="s">
        <v>479</v>
      </c>
      <c r="W130" s="1">
        <v>2022</v>
      </c>
      <c r="X130" s="40">
        <v>2024</v>
      </c>
      <c r="Y130" s="1">
        <v>9.8154684000000003</v>
      </c>
      <c r="Z130" s="1">
        <v>2024</v>
      </c>
      <c r="AA130" s="40">
        <v>2026</v>
      </c>
      <c r="AB130" s="1">
        <v>56.860751739999998</v>
      </c>
      <c r="AC130" s="40">
        <v>2027</v>
      </c>
      <c r="AD130" s="1" t="s">
        <v>481</v>
      </c>
    </row>
    <row r="131" spans="1:30" ht="56.25" x14ac:dyDescent="0.2">
      <c r="A131" s="1" t="s">
        <v>16</v>
      </c>
      <c r="B131" s="1" t="s">
        <v>361</v>
      </c>
      <c r="C131" s="5" t="s">
        <v>506</v>
      </c>
      <c r="D131" s="1" t="s">
        <v>12</v>
      </c>
      <c r="E131" s="11">
        <v>2.2000000000000002</v>
      </c>
      <c r="F131" s="1" t="s">
        <v>606</v>
      </c>
      <c r="G131" s="12">
        <v>172.13997739625418</v>
      </c>
      <c r="H131" s="1" t="s">
        <v>12</v>
      </c>
      <c r="I131" s="1" t="s">
        <v>164</v>
      </c>
      <c r="J131" s="26">
        <v>34.914000010000002</v>
      </c>
      <c r="K131" s="26">
        <f t="shared" si="18"/>
        <v>34.914000000000001</v>
      </c>
      <c r="L131" s="1">
        <v>0</v>
      </c>
      <c r="M131" s="1">
        <v>0</v>
      </c>
      <c r="N131" s="26">
        <v>2.4810000000000001E-3</v>
      </c>
      <c r="O131" s="26">
        <v>3.5164720200000001</v>
      </c>
      <c r="P131" s="26">
        <v>0.22856258000000002</v>
      </c>
      <c r="Q131" s="26">
        <v>31.166484400000002</v>
      </c>
      <c r="R131" s="26">
        <v>0</v>
      </c>
      <c r="S131" s="1">
        <v>0</v>
      </c>
      <c r="T131" s="1">
        <v>0</v>
      </c>
      <c r="U131" s="1">
        <v>0</v>
      </c>
      <c r="V131" s="33" t="s">
        <v>479</v>
      </c>
      <c r="W131" s="1">
        <v>2024</v>
      </c>
      <c r="X131" s="40">
        <v>2026</v>
      </c>
      <c r="Y131" s="1">
        <v>3.5210205299999999</v>
      </c>
      <c r="Z131" s="1">
        <v>2026</v>
      </c>
      <c r="AA131" s="1">
        <v>2027</v>
      </c>
      <c r="AB131" s="1">
        <v>31.394609699999997</v>
      </c>
      <c r="AC131" s="1">
        <v>2028</v>
      </c>
      <c r="AD131" s="1" t="s">
        <v>481</v>
      </c>
    </row>
    <row r="132" spans="1:30" ht="56.25" x14ac:dyDescent="0.2">
      <c r="A132" s="1" t="s">
        <v>16</v>
      </c>
      <c r="B132" s="1" t="s">
        <v>362</v>
      </c>
      <c r="C132" s="5" t="s">
        <v>507</v>
      </c>
      <c r="D132" s="1" t="s">
        <v>12</v>
      </c>
      <c r="E132" s="11">
        <v>3.3079999999999998</v>
      </c>
      <c r="F132" s="1" t="s">
        <v>606</v>
      </c>
      <c r="G132" s="12">
        <v>30.23025144752166</v>
      </c>
      <c r="H132" s="1" t="s">
        <v>12</v>
      </c>
      <c r="I132" s="1" t="s">
        <v>164</v>
      </c>
      <c r="J132" s="26">
        <v>52.497959999999999</v>
      </c>
      <c r="K132" s="26">
        <f t="shared" si="18"/>
        <v>52.49796001</v>
      </c>
      <c r="L132" s="1">
        <v>0</v>
      </c>
      <c r="M132" s="1">
        <v>0</v>
      </c>
      <c r="N132" s="26">
        <v>3.7653100000000004E-3</v>
      </c>
      <c r="O132" s="26">
        <v>4.2319897800000001</v>
      </c>
      <c r="P132" s="26">
        <v>0.27429009999999998</v>
      </c>
      <c r="Q132" s="26">
        <v>47.98791482</v>
      </c>
      <c r="R132" s="26">
        <v>0</v>
      </c>
      <c r="S132" s="1">
        <v>0</v>
      </c>
      <c r="T132" s="1">
        <v>0</v>
      </c>
      <c r="U132" s="1">
        <v>0</v>
      </c>
      <c r="V132" s="33" t="s">
        <v>479</v>
      </c>
      <c r="W132" s="1">
        <v>2024</v>
      </c>
      <c r="X132" s="40">
        <v>2026</v>
      </c>
      <c r="Y132" s="1">
        <v>4.2388928300000002</v>
      </c>
      <c r="Z132" s="1">
        <v>2026</v>
      </c>
      <c r="AA132" s="1">
        <v>2027</v>
      </c>
      <c r="AB132" s="1">
        <v>48.26071709</v>
      </c>
      <c r="AC132" s="1">
        <v>2028</v>
      </c>
      <c r="AD132" s="1" t="s">
        <v>481</v>
      </c>
    </row>
    <row r="133" spans="1:30" ht="56.25" x14ac:dyDescent="0.2">
      <c r="A133" s="1" t="s">
        <v>16</v>
      </c>
      <c r="B133" s="1" t="s">
        <v>363</v>
      </c>
      <c r="C133" s="5" t="s">
        <v>508</v>
      </c>
      <c r="D133" s="1" t="s">
        <v>12</v>
      </c>
      <c r="E133" s="11">
        <v>2.2069999999999999</v>
      </c>
      <c r="F133" s="1" t="s">
        <v>606</v>
      </c>
      <c r="G133" s="12">
        <v>66.018533393721285</v>
      </c>
      <c r="H133" s="1" t="s">
        <v>12</v>
      </c>
      <c r="I133" s="1" t="s">
        <v>164</v>
      </c>
      <c r="J133" s="26">
        <v>35.025089989999998</v>
      </c>
      <c r="K133" s="26">
        <f t="shared" si="18"/>
        <v>35.025089989999998</v>
      </c>
      <c r="L133" s="1">
        <v>0</v>
      </c>
      <c r="M133" s="1">
        <v>0</v>
      </c>
      <c r="N133" s="26">
        <v>2.4889600000000001E-3</v>
      </c>
      <c r="O133" s="26">
        <v>2.3833333300000001</v>
      </c>
      <c r="P133" s="26">
        <v>0.66208893999999996</v>
      </c>
      <c r="Q133" s="26">
        <v>31.977178759999997</v>
      </c>
      <c r="R133" s="26">
        <v>0</v>
      </c>
      <c r="S133" s="1">
        <v>0</v>
      </c>
      <c r="T133" s="1">
        <v>0</v>
      </c>
      <c r="U133" s="1">
        <v>0</v>
      </c>
      <c r="V133" s="33" t="s">
        <v>479</v>
      </c>
      <c r="W133" s="1">
        <v>2024</v>
      </c>
      <c r="X133" s="40">
        <v>2026</v>
      </c>
      <c r="Y133" s="1">
        <v>2.3878964200000001</v>
      </c>
      <c r="Z133" s="1">
        <v>2026</v>
      </c>
      <c r="AA133" s="1">
        <v>2027</v>
      </c>
      <c r="AB133" s="1">
        <v>32.638812820000005</v>
      </c>
      <c r="AC133" s="1">
        <v>2028</v>
      </c>
      <c r="AD133" s="1" t="s">
        <v>481</v>
      </c>
    </row>
    <row r="134" spans="1:30" ht="56.25" x14ac:dyDescent="0.2">
      <c r="A134" s="1" t="s">
        <v>16</v>
      </c>
      <c r="B134" s="1" t="s">
        <v>364</v>
      </c>
      <c r="C134" s="5" t="s">
        <v>509</v>
      </c>
      <c r="D134" s="1" t="s">
        <v>12</v>
      </c>
      <c r="E134" s="11">
        <v>1.544</v>
      </c>
      <c r="F134" s="1" t="s">
        <v>606</v>
      </c>
      <c r="G134" s="12">
        <v>39.710644618633445</v>
      </c>
      <c r="H134" s="1" t="s">
        <v>12</v>
      </c>
      <c r="I134" s="1" t="s">
        <v>164</v>
      </c>
      <c r="J134" s="26">
        <v>24.709332619999998</v>
      </c>
      <c r="K134" s="26">
        <f t="shared" si="18"/>
        <v>24.709332630000002</v>
      </c>
      <c r="L134" s="1">
        <v>0</v>
      </c>
      <c r="M134" s="1">
        <v>0</v>
      </c>
      <c r="N134" s="26">
        <v>1.7257100000000001E-3</v>
      </c>
      <c r="O134" s="26">
        <v>2.4857499999999999</v>
      </c>
      <c r="P134" s="26">
        <v>0.10273869999999999</v>
      </c>
      <c r="Q134" s="26">
        <v>22.119118220000001</v>
      </c>
      <c r="R134" s="26">
        <v>0</v>
      </c>
      <c r="S134" s="1">
        <v>0</v>
      </c>
      <c r="T134" s="1">
        <v>0</v>
      </c>
      <c r="U134" s="1">
        <v>0</v>
      </c>
      <c r="V134" s="33" t="s">
        <v>479</v>
      </c>
      <c r="W134" s="1">
        <v>2024</v>
      </c>
      <c r="X134" s="40">
        <v>2026</v>
      </c>
      <c r="Y134" s="1">
        <v>2.3858874899999996</v>
      </c>
      <c r="Z134" s="1">
        <v>2026</v>
      </c>
      <c r="AA134" s="1">
        <v>2027</v>
      </c>
      <c r="AB134" s="1">
        <v>22.118956909999998</v>
      </c>
      <c r="AC134" s="1">
        <v>2028</v>
      </c>
      <c r="AD134" s="1" t="s">
        <v>481</v>
      </c>
    </row>
    <row r="135" spans="1:30" ht="56.25" x14ac:dyDescent="0.2">
      <c r="A135" s="1" t="s">
        <v>16</v>
      </c>
      <c r="B135" s="1" t="s">
        <v>365</v>
      </c>
      <c r="C135" s="5" t="s">
        <v>510</v>
      </c>
      <c r="D135" s="1" t="s">
        <v>12</v>
      </c>
      <c r="E135" s="11">
        <v>1.121</v>
      </c>
      <c r="F135" s="1" t="s">
        <v>606</v>
      </c>
      <c r="G135" s="12">
        <v>30.237246528838927</v>
      </c>
      <c r="H135" s="1" t="s">
        <v>12</v>
      </c>
      <c r="I135" s="1" t="s">
        <v>164</v>
      </c>
      <c r="J135" s="26">
        <v>18.717064269999998</v>
      </c>
      <c r="K135" s="26">
        <f t="shared" si="18"/>
        <v>18.717064280000002</v>
      </c>
      <c r="L135" s="1">
        <v>0</v>
      </c>
      <c r="M135" s="1">
        <v>0</v>
      </c>
      <c r="N135" s="26">
        <v>1.2569600000000001E-3</v>
      </c>
      <c r="O135" s="26">
        <v>2.31793351</v>
      </c>
      <c r="P135" s="26">
        <v>0.46318764000000001</v>
      </c>
      <c r="Q135" s="26">
        <v>15.934686170000001</v>
      </c>
      <c r="R135" s="26">
        <v>0</v>
      </c>
      <c r="S135" s="1">
        <v>0</v>
      </c>
      <c r="T135" s="1">
        <v>0</v>
      </c>
      <c r="U135" s="1">
        <v>0</v>
      </c>
      <c r="V135" s="33" t="s">
        <v>479</v>
      </c>
      <c r="W135" s="1">
        <v>2024</v>
      </c>
      <c r="X135" s="40">
        <v>2026</v>
      </c>
      <c r="Y135" s="1">
        <v>1.85684078</v>
      </c>
      <c r="Z135" s="1">
        <v>2026</v>
      </c>
      <c r="AA135" s="1">
        <v>2027</v>
      </c>
      <c r="AB135" s="1">
        <v>15.935033020000001</v>
      </c>
      <c r="AC135" s="1">
        <v>2028</v>
      </c>
      <c r="AD135" s="1" t="s">
        <v>481</v>
      </c>
    </row>
    <row r="136" spans="1:30" ht="56.25" x14ac:dyDescent="0.2">
      <c r="A136" s="1" t="s">
        <v>16</v>
      </c>
      <c r="B136" s="1" t="s">
        <v>366</v>
      </c>
      <c r="C136" s="5" t="s">
        <v>511</v>
      </c>
      <c r="D136" s="1" t="s">
        <v>12</v>
      </c>
      <c r="E136" s="11">
        <v>1.8720000000000001</v>
      </c>
      <c r="F136" s="1" t="s">
        <v>606</v>
      </c>
      <c r="G136" s="12">
        <v>32.234059640921018</v>
      </c>
      <c r="H136" s="1" t="s">
        <v>12</v>
      </c>
      <c r="I136" s="1" t="s">
        <v>164</v>
      </c>
      <c r="J136" s="26">
        <v>29.708639999999995</v>
      </c>
      <c r="K136" s="26">
        <f t="shared" si="18"/>
        <v>29.708639989999998</v>
      </c>
      <c r="L136" s="1">
        <v>0</v>
      </c>
      <c r="M136" s="1">
        <v>0</v>
      </c>
      <c r="N136" s="26">
        <v>2.1006899999999997E-3</v>
      </c>
      <c r="O136" s="26">
        <v>3.0273303500000002</v>
      </c>
      <c r="P136" s="26">
        <v>0.19680466000000002</v>
      </c>
      <c r="Q136" s="26">
        <v>26.482404289999998</v>
      </c>
      <c r="R136" s="26">
        <v>0</v>
      </c>
      <c r="S136" s="1">
        <v>0</v>
      </c>
      <c r="T136" s="1">
        <v>0</v>
      </c>
      <c r="U136" s="1">
        <v>0</v>
      </c>
      <c r="V136" s="33" t="s">
        <v>479</v>
      </c>
      <c r="W136" s="1">
        <v>2024</v>
      </c>
      <c r="X136" s="40">
        <v>2026</v>
      </c>
      <c r="Y136" s="1">
        <v>3.0311816199999999</v>
      </c>
      <c r="Z136" s="1">
        <v>2026</v>
      </c>
      <c r="AA136" s="1">
        <v>2027</v>
      </c>
      <c r="AB136" s="1">
        <v>26.679058259999998</v>
      </c>
      <c r="AC136" s="1">
        <v>2028</v>
      </c>
      <c r="AD136" s="1" t="s">
        <v>481</v>
      </c>
    </row>
    <row r="137" spans="1:30" ht="45" x14ac:dyDescent="0.2">
      <c r="A137" s="1" t="s">
        <v>16</v>
      </c>
      <c r="B137" s="1" t="s">
        <v>367</v>
      </c>
      <c r="C137" s="5" t="s">
        <v>512</v>
      </c>
      <c r="D137" s="1" t="s">
        <v>12</v>
      </c>
      <c r="E137" s="41">
        <v>4.5999999999999996</v>
      </c>
      <c r="F137" s="1" t="s">
        <v>606</v>
      </c>
      <c r="G137" s="12">
        <v>187.44535047257048</v>
      </c>
      <c r="H137" s="1" t="s">
        <v>12</v>
      </c>
      <c r="I137" s="1" t="s">
        <v>164</v>
      </c>
      <c r="J137" s="26">
        <v>48.009274190000006</v>
      </c>
      <c r="K137" s="26">
        <f t="shared" si="18"/>
        <v>48.009274189999999</v>
      </c>
      <c r="L137" s="1">
        <v>8.3976623999999997</v>
      </c>
      <c r="M137" s="1">
        <v>39.543971790000001</v>
      </c>
      <c r="N137" s="26">
        <v>6.7640000000000006E-2</v>
      </c>
      <c r="O137" s="26">
        <v>0</v>
      </c>
      <c r="P137" s="26">
        <v>0</v>
      </c>
      <c r="Q137" s="26">
        <v>0</v>
      </c>
      <c r="R137" s="26">
        <v>0</v>
      </c>
      <c r="S137" s="1">
        <v>0</v>
      </c>
      <c r="T137" s="1">
        <v>0</v>
      </c>
      <c r="U137" s="1">
        <v>0</v>
      </c>
      <c r="V137" s="33" t="s">
        <v>479</v>
      </c>
      <c r="W137" s="1">
        <v>2020</v>
      </c>
      <c r="X137" s="1">
        <v>2021</v>
      </c>
      <c r="Y137" s="1">
        <v>10.53156785</v>
      </c>
      <c r="Z137" s="1">
        <v>2022</v>
      </c>
      <c r="AA137" s="1">
        <v>2023</v>
      </c>
      <c r="AB137" s="1">
        <v>37.477706339999997</v>
      </c>
      <c r="AC137" s="1">
        <v>2024</v>
      </c>
      <c r="AD137" s="1" t="s">
        <v>481</v>
      </c>
    </row>
    <row r="138" spans="1:30" ht="45" x14ac:dyDescent="0.2">
      <c r="A138" s="1" t="s">
        <v>16</v>
      </c>
      <c r="B138" s="1" t="s">
        <v>368</v>
      </c>
      <c r="C138" s="5" t="s">
        <v>513</v>
      </c>
      <c r="D138" s="1" t="s">
        <v>12</v>
      </c>
      <c r="E138" s="41">
        <v>1.2</v>
      </c>
      <c r="F138" s="1" t="s">
        <v>606</v>
      </c>
      <c r="G138" s="12">
        <v>44.660601599088125</v>
      </c>
      <c r="H138" s="1" t="s">
        <v>12</v>
      </c>
      <c r="I138" s="1" t="s">
        <v>164</v>
      </c>
      <c r="J138" s="26">
        <v>14.459555770000003</v>
      </c>
      <c r="K138" s="26">
        <f t="shared" si="18"/>
        <v>14.45955577</v>
      </c>
      <c r="L138" s="1">
        <v>3.4036192000000001</v>
      </c>
      <c r="M138" s="1">
        <v>11.01666777</v>
      </c>
      <c r="N138" s="26">
        <v>3.92688E-2</v>
      </c>
      <c r="O138" s="26">
        <v>0</v>
      </c>
      <c r="P138" s="26">
        <v>0</v>
      </c>
      <c r="Q138" s="26">
        <v>0</v>
      </c>
      <c r="R138" s="26">
        <v>0</v>
      </c>
      <c r="S138" s="1">
        <v>0</v>
      </c>
      <c r="T138" s="1">
        <v>0</v>
      </c>
      <c r="U138" s="1">
        <v>0</v>
      </c>
      <c r="V138" s="33" t="s">
        <v>479</v>
      </c>
      <c r="W138" s="1">
        <v>2020</v>
      </c>
      <c r="X138" s="1">
        <v>2021</v>
      </c>
      <c r="Y138" s="1">
        <v>4.26849787</v>
      </c>
      <c r="Z138" s="1">
        <v>2022</v>
      </c>
      <c r="AA138" s="1">
        <v>2023</v>
      </c>
      <c r="AB138" s="1">
        <v>10.191057900000001</v>
      </c>
      <c r="AC138" s="1">
        <v>2024</v>
      </c>
      <c r="AD138" s="1" t="s">
        <v>481</v>
      </c>
    </row>
    <row r="139" spans="1:30" ht="45" x14ac:dyDescent="0.2">
      <c r="A139" s="1" t="s">
        <v>16</v>
      </c>
      <c r="B139" s="1" t="s">
        <v>369</v>
      </c>
      <c r="C139" s="5" t="s">
        <v>514</v>
      </c>
      <c r="D139" s="1" t="s">
        <v>12</v>
      </c>
      <c r="E139" s="41">
        <v>3</v>
      </c>
      <c r="F139" s="1" t="s">
        <v>606</v>
      </c>
      <c r="G139" s="12">
        <v>94.754221327004274</v>
      </c>
      <c r="H139" s="1" t="s">
        <v>12</v>
      </c>
      <c r="I139" s="1" t="s">
        <v>164</v>
      </c>
      <c r="J139" s="26">
        <v>46.397039500000005</v>
      </c>
      <c r="K139" s="26">
        <f t="shared" si="18"/>
        <v>46.397039500000005</v>
      </c>
      <c r="L139" s="1">
        <v>7.7644055999999999</v>
      </c>
      <c r="M139" s="1">
        <v>32.463762250000002</v>
      </c>
      <c r="N139" s="26">
        <v>6.1688716499999998</v>
      </c>
      <c r="O139" s="26">
        <v>0</v>
      </c>
      <c r="P139" s="26">
        <v>0</v>
      </c>
      <c r="Q139" s="26">
        <v>0</v>
      </c>
      <c r="R139" s="26">
        <v>0</v>
      </c>
      <c r="S139" s="1">
        <v>0</v>
      </c>
      <c r="T139" s="1">
        <v>0</v>
      </c>
      <c r="U139" s="1">
        <v>0</v>
      </c>
      <c r="V139" s="33" t="s">
        <v>479</v>
      </c>
      <c r="W139" s="1">
        <v>2020</v>
      </c>
      <c r="X139" s="1">
        <v>2021</v>
      </c>
      <c r="Y139" s="1">
        <v>9.7373897100000004</v>
      </c>
      <c r="Z139" s="1">
        <v>2022</v>
      </c>
      <c r="AA139" s="1">
        <v>2023</v>
      </c>
      <c r="AB139" s="1">
        <v>36.659649790000003</v>
      </c>
      <c r="AC139" s="1">
        <v>2024</v>
      </c>
      <c r="AD139" s="1" t="s">
        <v>481</v>
      </c>
    </row>
    <row r="140" spans="1:30" ht="45" x14ac:dyDescent="0.2">
      <c r="A140" s="1" t="s">
        <v>16</v>
      </c>
      <c r="B140" s="1" t="s">
        <v>370</v>
      </c>
      <c r="C140" s="5" t="s">
        <v>515</v>
      </c>
      <c r="D140" s="1" t="s">
        <v>12</v>
      </c>
      <c r="E140" s="41">
        <v>0.8</v>
      </c>
      <c r="F140" s="1" t="s">
        <v>606</v>
      </c>
      <c r="G140" s="12">
        <v>21.428582736566202</v>
      </c>
      <c r="H140" s="1" t="s">
        <v>12</v>
      </c>
      <c r="I140" s="1" t="s">
        <v>164</v>
      </c>
      <c r="J140" s="26">
        <v>9.2147695900000013</v>
      </c>
      <c r="K140" s="26">
        <f t="shared" si="18"/>
        <v>9.2147695899999995</v>
      </c>
      <c r="L140" s="1">
        <v>3.0783744</v>
      </c>
      <c r="M140" s="1">
        <v>6.1290672699999993</v>
      </c>
      <c r="N140" s="26">
        <v>7.3279199999999999E-3</v>
      </c>
      <c r="O140" s="26">
        <v>0</v>
      </c>
      <c r="P140" s="26">
        <v>0</v>
      </c>
      <c r="Q140" s="26">
        <v>0</v>
      </c>
      <c r="R140" s="26">
        <v>0</v>
      </c>
      <c r="S140" s="1">
        <v>0</v>
      </c>
      <c r="T140" s="1">
        <v>0</v>
      </c>
      <c r="U140" s="1">
        <v>0</v>
      </c>
      <c r="V140" s="33" t="s">
        <v>479</v>
      </c>
      <c r="W140" s="1">
        <v>2020</v>
      </c>
      <c r="X140" s="1">
        <v>2021</v>
      </c>
      <c r="Y140" s="1">
        <v>3.8605944000000001</v>
      </c>
      <c r="Z140" s="1">
        <v>2022</v>
      </c>
      <c r="AA140" s="1">
        <v>2023</v>
      </c>
      <c r="AB140" s="1">
        <v>5.3541751899999994</v>
      </c>
      <c r="AC140" s="1">
        <v>2024</v>
      </c>
      <c r="AD140" s="1" t="s">
        <v>481</v>
      </c>
    </row>
    <row r="141" spans="1:30" ht="45" x14ac:dyDescent="0.2">
      <c r="A141" s="1" t="s">
        <v>16</v>
      </c>
      <c r="B141" s="1" t="s">
        <v>371</v>
      </c>
      <c r="C141" s="5" t="s">
        <v>516</v>
      </c>
      <c r="D141" s="1" t="s">
        <v>12</v>
      </c>
      <c r="E141" s="11">
        <v>6.63</v>
      </c>
      <c r="F141" s="1" t="s">
        <v>606</v>
      </c>
      <c r="G141" s="12">
        <v>129.2977713122269</v>
      </c>
      <c r="H141" s="1" t="s">
        <v>12</v>
      </c>
      <c r="I141" s="1" t="s">
        <v>164</v>
      </c>
      <c r="J141" s="26">
        <v>55.977462129999999</v>
      </c>
      <c r="K141" s="26">
        <f t="shared" si="18"/>
        <v>55.977462129999992</v>
      </c>
      <c r="L141" s="1">
        <v>8.8818304000000001</v>
      </c>
      <c r="M141" s="1">
        <v>25.137720039999998</v>
      </c>
      <c r="N141" s="26">
        <v>21.957911689999996</v>
      </c>
      <c r="O141" s="26">
        <v>0</v>
      </c>
      <c r="P141" s="26">
        <v>0</v>
      </c>
      <c r="Q141" s="26">
        <v>0</v>
      </c>
      <c r="R141" s="26">
        <v>0</v>
      </c>
      <c r="S141" s="1">
        <v>0</v>
      </c>
      <c r="T141" s="1">
        <v>0</v>
      </c>
      <c r="U141" s="1">
        <v>0</v>
      </c>
      <c r="V141" s="33" t="s">
        <v>479</v>
      </c>
      <c r="W141" s="1">
        <v>2020</v>
      </c>
      <c r="X141" s="1">
        <v>2021</v>
      </c>
      <c r="Y141" s="1">
        <v>11.138741190000001</v>
      </c>
      <c r="Z141" s="1">
        <v>2022</v>
      </c>
      <c r="AA141" s="1">
        <v>2023</v>
      </c>
      <c r="AB141" s="1">
        <v>55.26622617999999</v>
      </c>
      <c r="AC141" s="1">
        <v>2024</v>
      </c>
      <c r="AD141" s="1" t="s">
        <v>481</v>
      </c>
    </row>
    <row r="142" spans="1:30" ht="45" x14ac:dyDescent="0.2">
      <c r="A142" s="1" t="s">
        <v>16</v>
      </c>
      <c r="B142" s="1" t="s">
        <v>372</v>
      </c>
      <c r="C142" s="5" t="s">
        <v>517</v>
      </c>
      <c r="D142" s="1" t="s">
        <v>12</v>
      </c>
      <c r="E142" s="41">
        <v>6.7</v>
      </c>
      <c r="F142" s="1" t="s">
        <v>606</v>
      </c>
      <c r="G142" s="12">
        <v>83.929947160109293</v>
      </c>
      <c r="H142" s="1" t="s">
        <v>12</v>
      </c>
      <c r="I142" s="1" t="s">
        <v>164</v>
      </c>
      <c r="J142" s="26">
        <v>81.437725229999998</v>
      </c>
      <c r="K142" s="26">
        <f t="shared" si="18"/>
        <v>81.437725230000012</v>
      </c>
      <c r="L142" s="1">
        <v>12.072698000000001</v>
      </c>
      <c r="M142" s="1">
        <v>69.339134150000007</v>
      </c>
      <c r="N142" s="26">
        <v>2.5893080000000002E-2</v>
      </c>
      <c r="O142" s="26">
        <v>0</v>
      </c>
      <c r="P142" s="26">
        <v>0</v>
      </c>
      <c r="Q142" s="26">
        <v>0</v>
      </c>
      <c r="R142" s="26">
        <v>0</v>
      </c>
      <c r="S142" s="1">
        <v>0</v>
      </c>
      <c r="T142" s="1">
        <v>0</v>
      </c>
      <c r="U142" s="1">
        <v>0</v>
      </c>
      <c r="V142" s="33" t="s">
        <v>479</v>
      </c>
      <c r="W142" s="1">
        <v>2020</v>
      </c>
      <c r="X142" s="1">
        <v>2021</v>
      </c>
      <c r="Y142" s="1">
        <v>15.140412749999999</v>
      </c>
      <c r="Z142" s="1">
        <v>2022</v>
      </c>
      <c r="AA142" s="1">
        <v>2023</v>
      </c>
      <c r="AB142" s="1">
        <v>78.52076292000001</v>
      </c>
      <c r="AC142" s="1">
        <v>2024</v>
      </c>
      <c r="AD142" s="1" t="s">
        <v>481</v>
      </c>
    </row>
    <row r="143" spans="1:30" ht="45" x14ac:dyDescent="0.2">
      <c r="A143" s="1" t="s">
        <v>16</v>
      </c>
      <c r="B143" s="1" t="s">
        <v>373</v>
      </c>
      <c r="C143" s="5" t="s">
        <v>518</v>
      </c>
      <c r="D143" s="1" t="s">
        <v>12</v>
      </c>
      <c r="E143" s="11">
        <v>20.49</v>
      </c>
      <c r="F143" s="1" t="s">
        <v>606</v>
      </c>
      <c r="G143" s="12">
        <v>347.80092427905254</v>
      </c>
      <c r="H143" s="1" t="s">
        <v>12</v>
      </c>
      <c r="I143" s="1" t="s">
        <v>164</v>
      </c>
      <c r="J143" s="26">
        <v>192.18793418999999</v>
      </c>
      <c r="K143" s="26">
        <f t="shared" si="18"/>
        <v>192.18793418999999</v>
      </c>
      <c r="L143" s="1">
        <v>24.583366460000001</v>
      </c>
      <c r="M143" s="1">
        <v>85.163790669999997</v>
      </c>
      <c r="N143" s="26">
        <v>82.440777059999988</v>
      </c>
      <c r="O143" s="26">
        <v>0</v>
      </c>
      <c r="P143" s="26">
        <v>0</v>
      </c>
      <c r="Q143" s="26">
        <v>0</v>
      </c>
      <c r="R143" s="26">
        <v>0</v>
      </c>
      <c r="S143" s="1">
        <v>0</v>
      </c>
      <c r="T143" s="1">
        <v>0</v>
      </c>
      <c r="U143" s="1">
        <v>0</v>
      </c>
      <c r="V143" s="33" t="s">
        <v>479</v>
      </c>
      <c r="W143" s="1">
        <v>2020</v>
      </c>
      <c r="X143" s="1">
        <v>2021</v>
      </c>
      <c r="Y143" s="1">
        <v>30.830112250000003</v>
      </c>
      <c r="Z143" s="1">
        <v>2022</v>
      </c>
      <c r="AA143" s="1">
        <v>2023</v>
      </c>
      <c r="AB143" s="1">
        <v>186.97486051000001</v>
      </c>
      <c r="AC143" s="1">
        <v>2024</v>
      </c>
      <c r="AD143" s="1" t="s">
        <v>481</v>
      </c>
    </row>
    <row r="144" spans="1:30" ht="56.25" x14ac:dyDescent="0.2">
      <c r="A144" s="1" t="s">
        <v>16</v>
      </c>
      <c r="B144" s="1" t="s">
        <v>374</v>
      </c>
      <c r="C144" s="5" t="s">
        <v>519</v>
      </c>
      <c r="D144" s="1" t="s">
        <v>12</v>
      </c>
      <c r="E144" s="11">
        <v>10.38</v>
      </c>
      <c r="F144" s="1" t="s">
        <v>606</v>
      </c>
      <c r="G144" s="12">
        <v>27.30054762160421</v>
      </c>
      <c r="H144" s="1" t="s">
        <v>12</v>
      </c>
      <c r="I144" s="1" t="s">
        <v>164</v>
      </c>
      <c r="J144" s="26">
        <v>105.74626076</v>
      </c>
      <c r="K144" s="26">
        <f t="shared" si="18"/>
        <v>105.74626076</v>
      </c>
      <c r="L144" s="1">
        <v>13.213658000000001</v>
      </c>
      <c r="M144" s="1">
        <v>60.08555269</v>
      </c>
      <c r="N144" s="26">
        <v>32.447050070000003</v>
      </c>
      <c r="O144" s="26">
        <v>0</v>
      </c>
      <c r="P144" s="26">
        <v>0</v>
      </c>
      <c r="Q144" s="26">
        <v>0</v>
      </c>
      <c r="R144" s="26">
        <v>0</v>
      </c>
      <c r="S144" s="1">
        <v>0</v>
      </c>
      <c r="T144" s="1">
        <v>0</v>
      </c>
      <c r="U144" s="1">
        <v>0</v>
      </c>
      <c r="V144" s="33" t="s">
        <v>479</v>
      </c>
      <c r="W144" s="1">
        <v>2020</v>
      </c>
      <c r="X144" s="1">
        <v>2021</v>
      </c>
      <c r="Y144" s="1">
        <v>16.571314610000002</v>
      </c>
      <c r="Z144" s="1">
        <v>2022</v>
      </c>
      <c r="AA144" s="1">
        <v>2023</v>
      </c>
      <c r="AB144" s="1">
        <v>103.11545539999999</v>
      </c>
      <c r="AC144" s="1">
        <v>2024</v>
      </c>
      <c r="AD144" s="1" t="s">
        <v>481</v>
      </c>
    </row>
    <row r="145" spans="1:30" ht="56.25" x14ac:dyDescent="0.2">
      <c r="A145" s="1" t="s">
        <v>16</v>
      </c>
      <c r="B145" s="1" t="s">
        <v>375</v>
      </c>
      <c r="C145" s="5" t="s">
        <v>520</v>
      </c>
      <c r="D145" s="1" t="s">
        <v>12</v>
      </c>
      <c r="E145" s="11">
        <v>5.4</v>
      </c>
      <c r="F145" s="1" t="s">
        <v>606</v>
      </c>
      <c r="G145" s="12">
        <v>554.93102294617029</v>
      </c>
      <c r="H145" s="1" t="s">
        <v>12</v>
      </c>
      <c r="I145" s="1" t="s">
        <v>164</v>
      </c>
      <c r="J145" s="26">
        <v>85.697999999999993</v>
      </c>
      <c r="K145" s="26">
        <f t="shared" si="18"/>
        <v>85.698000000000008</v>
      </c>
      <c r="L145" s="1">
        <v>0</v>
      </c>
      <c r="M145" s="1">
        <v>0</v>
      </c>
      <c r="N145" s="26">
        <v>6.1176999999999985E-3</v>
      </c>
      <c r="O145" s="26">
        <v>6.8013312099999998</v>
      </c>
      <c r="P145" s="26">
        <v>0.44075174000000006</v>
      </c>
      <c r="Q145" s="26">
        <v>78.449799350000006</v>
      </c>
      <c r="R145" s="26">
        <v>0</v>
      </c>
      <c r="S145" s="1">
        <v>0</v>
      </c>
      <c r="T145" s="1">
        <v>0</v>
      </c>
      <c r="U145" s="1">
        <v>0</v>
      </c>
      <c r="V145" s="33" t="s">
        <v>479</v>
      </c>
      <c r="W145" s="1">
        <v>2024</v>
      </c>
      <c r="X145" s="40">
        <v>2026</v>
      </c>
      <c r="Y145" s="1">
        <v>6.8125469900000004</v>
      </c>
      <c r="Z145" s="1">
        <v>2026</v>
      </c>
      <c r="AA145" s="1">
        <v>2027</v>
      </c>
      <c r="AB145" s="1">
        <v>78.887198730000009</v>
      </c>
      <c r="AC145" s="1">
        <v>2028</v>
      </c>
      <c r="AD145" s="1" t="s">
        <v>481</v>
      </c>
    </row>
    <row r="146" spans="1:30" ht="45" x14ac:dyDescent="0.2">
      <c r="A146" s="1" t="s">
        <v>16</v>
      </c>
      <c r="B146" s="1" t="s">
        <v>376</v>
      </c>
      <c r="C146" s="5" t="s">
        <v>521</v>
      </c>
      <c r="D146" s="1" t="s">
        <v>12</v>
      </c>
      <c r="E146" s="41">
        <v>1.4</v>
      </c>
      <c r="F146" s="1" t="s">
        <v>606</v>
      </c>
      <c r="G146" s="12">
        <v>39.1477277420314</v>
      </c>
      <c r="H146" s="1" t="s">
        <v>12</v>
      </c>
      <c r="I146" s="1" t="s">
        <v>164</v>
      </c>
      <c r="J146" s="26">
        <v>16.518590929999998</v>
      </c>
      <c r="K146" s="26">
        <f t="shared" si="18"/>
        <v>16.518590929999998</v>
      </c>
      <c r="L146" s="1">
        <v>2.3866660000000001E-2</v>
      </c>
      <c r="M146" s="1">
        <v>16.477934869999999</v>
      </c>
      <c r="N146" s="26">
        <v>1.6789400000000003E-2</v>
      </c>
      <c r="O146" s="26">
        <v>0</v>
      </c>
      <c r="P146" s="26">
        <v>0</v>
      </c>
      <c r="Q146" s="26">
        <v>0</v>
      </c>
      <c r="R146" s="26">
        <v>0</v>
      </c>
      <c r="S146" s="1">
        <v>0</v>
      </c>
      <c r="T146" s="1">
        <v>0</v>
      </c>
      <c r="U146" s="1">
        <v>0</v>
      </c>
      <c r="V146" s="33" t="s">
        <v>479</v>
      </c>
      <c r="W146" s="1">
        <v>2022</v>
      </c>
      <c r="X146" s="1">
        <v>2023</v>
      </c>
      <c r="Y146" s="1">
        <v>0.13603512000000001</v>
      </c>
      <c r="Z146" s="1">
        <v>2023</v>
      </c>
      <c r="AA146" s="1">
        <v>2024</v>
      </c>
      <c r="AB146" s="1">
        <v>17.965242099999998</v>
      </c>
      <c r="AC146" s="1">
        <v>2025</v>
      </c>
      <c r="AD146" s="1" t="s">
        <v>481</v>
      </c>
    </row>
    <row r="147" spans="1:30" ht="45" x14ac:dyDescent="0.2">
      <c r="A147" s="1" t="s">
        <v>16</v>
      </c>
      <c r="B147" s="1" t="s">
        <v>377</v>
      </c>
      <c r="C147" s="5" t="s">
        <v>522</v>
      </c>
      <c r="D147" s="1" t="s">
        <v>12</v>
      </c>
      <c r="E147" s="41">
        <v>4.4000000000000004</v>
      </c>
      <c r="F147" s="1" t="s">
        <v>606</v>
      </c>
      <c r="G147" s="12">
        <v>169.17929761127951</v>
      </c>
      <c r="H147" s="1" t="s">
        <v>12</v>
      </c>
      <c r="I147" s="1" t="s">
        <v>164</v>
      </c>
      <c r="J147" s="26">
        <v>50.605345829999997</v>
      </c>
      <c r="K147" s="26">
        <f t="shared" si="18"/>
        <v>50.605345829999997</v>
      </c>
      <c r="L147" s="1">
        <v>1.48159866</v>
      </c>
      <c r="M147" s="1">
        <v>41.618454189999994</v>
      </c>
      <c r="N147" s="26">
        <v>7.5052929800000001</v>
      </c>
      <c r="O147" s="26">
        <v>0</v>
      </c>
      <c r="P147" s="26">
        <v>0</v>
      </c>
      <c r="Q147" s="26">
        <v>0</v>
      </c>
      <c r="R147" s="26">
        <v>0</v>
      </c>
      <c r="S147" s="1">
        <v>0</v>
      </c>
      <c r="T147" s="1">
        <v>0</v>
      </c>
      <c r="U147" s="1">
        <v>0</v>
      </c>
      <c r="V147" s="33" t="s">
        <v>479</v>
      </c>
      <c r="W147" s="1">
        <v>2022</v>
      </c>
      <c r="X147" s="1">
        <v>2023</v>
      </c>
      <c r="Y147" s="1">
        <v>5.1328318899999994</v>
      </c>
      <c r="Z147" s="1">
        <v>2023</v>
      </c>
      <c r="AA147" s="1">
        <v>2024</v>
      </c>
      <c r="AB147" s="1">
        <v>62.204553749999995</v>
      </c>
      <c r="AC147" s="1">
        <v>2025</v>
      </c>
      <c r="AD147" s="1" t="s">
        <v>481</v>
      </c>
    </row>
    <row r="148" spans="1:30" ht="56.25" x14ac:dyDescent="0.2">
      <c r="A148" s="1" t="s">
        <v>16</v>
      </c>
      <c r="B148" s="1" t="s">
        <v>378</v>
      </c>
      <c r="C148" s="5" t="s">
        <v>523</v>
      </c>
      <c r="D148" s="1" t="s">
        <v>12</v>
      </c>
      <c r="E148" s="11">
        <v>28</v>
      </c>
      <c r="F148" s="1" t="s">
        <v>606</v>
      </c>
      <c r="G148" s="12">
        <v>4222.6736106631688</v>
      </c>
      <c r="H148" s="1" t="s">
        <v>12</v>
      </c>
      <c r="I148" s="1" t="s">
        <v>164</v>
      </c>
      <c r="J148" s="26">
        <v>573.16621076000001</v>
      </c>
      <c r="K148" s="26">
        <f t="shared" si="18"/>
        <v>573.16621548000001</v>
      </c>
      <c r="L148" s="1">
        <v>0</v>
      </c>
      <c r="M148" s="1">
        <v>0</v>
      </c>
      <c r="N148" s="26">
        <v>4.0914840000000001E-2</v>
      </c>
      <c r="O148" s="26">
        <v>38.397248949999998</v>
      </c>
      <c r="P148" s="26">
        <v>0</v>
      </c>
      <c r="Q148" s="26">
        <v>534.72805169000003</v>
      </c>
      <c r="R148" s="26">
        <v>0</v>
      </c>
      <c r="S148" s="1">
        <v>0</v>
      </c>
      <c r="T148" s="1">
        <v>0</v>
      </c>
      <c r="U148" s="1">
        <v>0</v>
      </c>
      <c r="V148" s="33" t="s">
        <v>479</v>
      </c>
      <c r="W148" s="1">
        <v>2024</v>
      </c>
      <c r="X148" s="40">
        <v>2026</v>
      </c>
      <c r="Y148" s="1">
        <v>38.438163789999997</v>
      </c>
      <c r="Z148" s="1">
        <v>2026</v>
      </c>
      <c r="AA148" s="1">
        <v>2027</v>
      </c>
      <c r="AB148" s="1">
        <v>534.72487783000008</v>
      </c>
      <c r="AC148" s="1">
        <v>2028</v>
      </c>
      <c r="AD148" s="1" t="s">
        <v>481</v>
      </c>
    </row>
    <row r="149" spans="1:30" ht="45" x14ac:dyDescent="0.2">
      <c r="A149" s="1" t="s">
        <v>16</v>
      </c>
      <c r="B149" s="1" t="s">
        <v>379</v>
      </c>
      <c r="C149" s="5" t="s">
        <v>524</v>
      </c>
      <c r="D149" s="1" t="s">
        <v>12</v>
      </c>
      <c r="E149" s="11">
        <v>2.14</v>
      </c>
      <c r="F149" s="1" t="s">
        <v>606</v>
      </c>
      <c r="G149" s="12">
        <v>44.558167085786536</v>
      </c>
      <c r="H149" s="1" t="s">
        <v>12</v>
      </c>
      <c r="I149" s="1" t="s">
        <v>164</v>
      </c>
      <c r="J149" s="26">
        <v>23.419176119999999</v>
      </c>
      <c r="K149" s="26">
        <f t="shared" si="18"/>
        <v>23.419176119999999</v>
      </c>
      <c r="L149" s="1">
        <v>3.9193216</v>
      </c>
      <c r="M149" s="1">
        <v>0.99896517000000007</v>
      </c>
      <c r="N149" s="26">
        <v>18.041039949999998</v>
      </c>
      <c r="O149" s="26">
        <v>0.45984940000000002</v>
      </c>
      <c r="P149" s="26">
        <v>0</v>
      </c>
      <c r="Q149" s="26">
        <v>0</v>
      </c>
      <c r="R149" s="26">
        <v>0</v>
      </c>
      <c r="S149" s="1">
        <v>0</v>
      </c>
      <c r="T149" s="1">
        <v>0</v>
      </c>
      <c r="U149" s="1">
        <v>0</v>
      </c>
      <c r="V149" s="33" t="s">
        <v>479</v>
      </c>
      <c r="W149" s="1">
        <v>2023</v>
      </c>
      <c r="X149" s="1">
        <v>2023</v>
      </c>
      <c r="Y149" s="1">
        <v>4.9182867700000008</v>
      </c>
      <c r="Z149" s="1">
        <v>2024</v>
      </c>
      <c r="AA149" s="1">
        <v>2024</v>
      </c>
      <c r="AB149" s="1">
        <v>23.850972229999996</v>
      </c>
      <c r="AC149" s="1">
        <v>2025</v>
      </c>
      <c r="AD149" s="1" t="s">
        <v>481</v>
      </c>
    </row>
    <row r="150" spans="1:30" ht="45" x14ac:dyDescent="0.2">
      <c r="A150" s="1" t="s">
        <v>16</v>
      </c>
      <c r="B150" s="1" t="s">
        <v>380</v>
      </c>
      <c r="C150" s="5" t="s">
        <v>525</v>
      </c>
      <c r="D150" s="1" t="s">
        <v>12</v>
      </c>
      <c r="E150" s="11">
        <v>5.84</v>
      </c>
      <c r="F150" s="1" t="s">
        <v>606</v>
      </c>
      <c r="G150" s="12">
        <v>185.2848859947633</v>
      </c>
      <c r="H150" s="1" t="s">
        <v>12</v>
      </c>
      <c r="I150" s="1" t="s">
        <v>164</v>
      </c>
      <c r="J150" s="26">
        <v>23.463257489999997</v>
      </c>
      <c r="K150" s="26">
        <f t="shared" si="18"/>
        <v>23.463257489999997</v>
      </c>
      <c r="L150" s="1">
        <v>8.9590511999999993</v>
      </c>
      <c r="M150" s="1">
        <v>2.2835524600000001</v>
      </c>
      <c r="N150" s="26">
        <v>11.315795559999998</v>
      </c>
      <c r="O150" s="26">
        <v>0.90485826999999996</v>
      </c>
      <c r="P150" s="26">
        <v>0</v>
      </c>
      <c r="Q150" s="26">
        <v>0</v>
      </c>
      <c r="R150" s="26">
        <v>0</v>
      </c>
      <c r="S150" s="1">
        <v>0</v>
      </c>
      <c r="T150" s="1">
        <v>0</v>
      </c>
      <c r="U150" s="1">
        <v>0</v>
      </c>
      <c r="V150" s="33" t="s">
        <v>479</v>
      </c>
      <c r="W150" s="1">
        <v>2023</v>
      </c>
      <c r="X150" s="1">
        <v>2023</v>
      </c>
      <c r="Y150" s="1">
        <v>11.242603659999999</v>
      </c>
      <c r="Z150" s="1">
        <v>2024</v>
      </c>
      <c r="AA150" s="1">
        <v>2024</v>
      </c>
      <c r="AB150" s="1">
        <v>44.108758570000006</v>
      </c>
      <c r="AC150" s="1">
        <v>2025</v>
      </c>
      <c r="AD150" s="1" t="s">
        <v>481</v>
      </c>
    </row>
    <row r="151" spans="1:30" ht="45" x14ac:dyDescent="0.2">
      <c r="A151" s="1" t="s">
        <v>16</v>
      </c>
      <c r="B151" s="1" t="s">
        <v>381</v>
      </c>
      <c r="C151" s="5" t="s">
        <v>526</v>
      </c>
      <c r="D151" s="1" t="s">
        <v>12</v>
      </c>
      <c r="E151" s="11">
        <v>6.8</v>
      </c>
      <c r="F151" s="1" t="s">
        <v>606</v>
      </c>
      <c r="G151" s="12">
        <v>369.34815041193218</v>
      </c>
      <c r="H151" s="1" t="s">
        <v>12</v>
      </c>
      <c r="I151" s="1" t="s">
        <v>164</v>
      </c>
      <c r="J151" s="26">
        <v>116.66625652999998</v>
      </c>
      <c r="K151" s="26">
        <f t="shared" si="18"/>
        <v>116.66625653</v>
      </c>
      <c r="L151" s="1">
        <v>6.4522460000000004E-2</v>
      </c>
      <c r="M151" s="1">
        <v>3.3427677099999999</v>
      </c>
      <c r="N151" s="26">
        <v>78.797984259999993</v>
      </c>
      <c r="O151" s="26">
        <v>34.460982100000003</v>
      </c>
      <c r="P151" s="26">
        <v>0</v>
      </c>
      <c r="Q151" s="26">
        <v>0</v>
      </c>
      <c r="R151" s="26">
        <v>0</v>
      </c>
      <c r="S151" s="1">
        <v>0</v>
      </c>
      <c r="T151" s="1">
        <v>0</v>
      </c>
      <c r="U151" s="1">
        <v>0</v>
      </c>
      <c r="V151" s="33" t="s">
        <v>479</v>
      </c>
      <c r="W151" s="1">
        <v>2022</v>
      </c>
      <c r="X151" s="40">
        <v>2024</v>
      </c>
      <c r="Y151" s="1">
        <v>11.47442171</v>
      </c>
      <c r="Z151" s="40">
        <v>2024</v>
      </c>
      <c r="AA151" s="1">
        <v>2024</v>
      </c>
      <c r="AB151" s="1">
        <v>146.05133481999999</v>
      </c>
      <c r="AC151" s="1">
        <v>2025</v>
      </c>
      <c r="AD151" s="1" t="s">
        <v>481</v>
      </c>
    </row>
    <row r="152" spans="1:30" ht="45" x14ac:dyDescent="0.2">
      <c r="A152" s="1" t="s">
        <v>16</v>
      </c>
      <c r="B152" s="1" t="s">
        <v>382</v>
      </c>
      <c r="C152" s="5" t="s">
        <v>527</v>
      </c>
      <c r="D152" s="1" t="s">
        <v>12</v>
      </c>
      <c r="E152" s="11">
        <v>1.4</v>
      </c>
      <c r="F152" s="1" t="s">
        <v>606</v>
      </c>
      <c r="G152" s="12">
        <v>55.995577768140457</v>
      </c>
      <c r="H152" s="1" t="s">
        <v>12</v>
      </c>
      <c r="I152" s="1" t="s">
        <v>164</v>
      </c>
      <c r="J152" s="26">
        <v>56.516714300000004</v>
      </c>
      <c r="K152" s="26">
        <f t="shared" si="18"/>
        <v>56.516714299999997</v>
      </c>
      <c r="L152" s="1">
        <v>1.982153E-2</v>
      </c>
      <c r="M152" s="1">
        <v>1.0270096800000001</v>
      </c>
      <c r="N152" s="26">
        <v>47.885619219999995</v>
      </c>
      <c r="O152" s="26">
        <v>7.58426387</v>
      </c>
      <c r="P152" s="26">
        <v>0</v>
      </c>
      <c r="Q152" s="26">
        <v>0</v>
      </c>
      <c r="R152" s="26">
        <v>0</v>
      </c>
      <c r="S152" s="1">
        <v>0</v>
      </c>
      <c r="T152" s="1">
        <v>0</v>
      </c>
      <c r="U152" s="1">
        <v>0</v>
      </c>
      <c r="V152" s="33" t="s">
        <v>479</v>
      </c>
      <c r="W152" s="1">
        <v>2022</v>
      </c>
      <c r="X152" s="40">
        <v>2024</v>
      </c>
      <c r="Y152" s="1">
        <v>3.5253322600000003</v>
      </c>
      <c r="Z152" s="40">
        <v>2024</v>
      </c>
      <c r="AA152" s="1">
        <v>2024</v>
      </c>
      <c r="AB152" s="1">
        <v>62.912979379999996</v>
      </c>
      <c r="AC152" s="1">
        <v>2025</v>
      </c>
      <c r="AD152" s="1" t="s">
        <v>481</v>
      </c>
    </row>
    <row r="153" spans="1:30" ht="45" x14ac:dyDescent="0.2">
      <c r="A153" s="1" t="s">
        <v>16</v>
      </c>
      <c r="B153" s="1" t="s">
        <v>383</v>
      </c>
      <c r="C153" s="5" t="s">
        <v>528</v>
      </c>
      <c r="D153" s="1" t="s">
        <v>12</v>
      </c>
      <c r="E153" s="41">
        <v>1</v>
      </c>
      <c r="F153" s="1" t="s">
        <v>606</v>
      </c>
      <c r="G153" s="12">
        <v>36.179901977854108</v>
      </c>
      <c r="H153" s="1" t="s">
        <v>12</v>
      </c>
      <c r="I153" s="1" t="s">
        <v>164</v>
      </c>
      <c r="J153" s="26">
        <v>13.888746469999999</v>
      </c>
      <c r="K153" s="26">
        <f t="shared" si="18"/>
        <v>13.888746469999997</v>
      </c>
      <c r="L153" s="1">
        <v>2.548255E-2</v>
      </c>
      <c r="M153" s="1">
        <v>4.5002612099999997</v>
      </c>
      <c r="N153" s="26">
        <v>9.3630027099999982</v>
      </c>
      <c r="O153" s="26">
        <v>0</v>
      </c>
      <c r="P153" s="26">
        <v>0</v>
      </c>
      <c r="Q153" s="26">
        <v>0</v>
      </c>
      <c r="R153" s="26">
        <v>0</v>
      </c>
      <c r="S153" s="1">
        <v>0</v>
      </c>
      <c r="T153" s="1">
        <v>0</v>
      </c>
      <c r="U153" s="1">
        <v>0</v>
      </c>
      <c r="V153" s="33" t="s">
        <v>479</v>
      </c>
      <c r="W153" s="1">
        <v>2022</v>
      </c>
      <c r="X153" s="1">
        <v>2023</v>
      </c>
      <c r="Y153" s="1">
        <v>4.5257437600000001</v>
      </c>
      <c r="Z153" s="1">
        <v>2023</v>
      </c>
      <c r="AA153" s="1">
        <v>2024</v>
      </c>
      <c r="AB153" s="1">
        <v>14.920183979999997</v>
      </c>
      <c r="AC153" s="1">
        <v>2025</v>
      </c>
      <c r="AD153" s="1" t="s">
        <v>481</v>
      </c>
    </row>
    <row r="154" spans="1:30" ht="56.25" x14ac:dyDescent="0.2">
      <c r="A154" s="1" t="s">
        <v>16</v>
      </c>
      <c r="B154" s="1" t="s">
        <v>384</v>
      </c>
      <c r="C154" s="5" t="s">
        <v>529</v>
      </c>
      <c r="D154" s="1" t="s">
        <v>12</v>
      </c>
      <c r="E154" s="11">
        <v>1.2</v>
      </c>
      <c r="F154" s="1" t="s">
        <v>606</v>
      </c>
      <c r="G154" s="12">
        <v>82.683854130407326</v>
      </c>
      <c r="H154" s="1" t="s">
        <v>12</v>
      </c>
      <c r="I154" s="1" t="s">
        <v>164</v>
      </c>
      <c r="J154" s="26">
        <v>19.044000010000001</v>
      </c>
      <c r="K154" s="26">
        <f t="shared" si="18"/>
        <v>19.044000019999999</v>
      </c>
      <c r="L154" s="1">
        <v>0</v>
      </c>
      <c r="M154" s="1">
        <v>0</v>
      </c>
      <c r="N154" s="26">
        <v>1.3408699999999999E-3</v>
      </c>
      <c r="O154" s="26">
        <v>1.7186042399999999</v>
      </c>
      <c r="P154" s="26">
        <v>0.111577</v>
      </c>
      <c r="Q154" s="26">
        <v>17.21247791</v>
      </c>
      <c r="R154" s="26">
        <v>0</v>
      </c>
      <c r="S154" s="1">
        <v>0</v>
      </c>
      <c r="T154" s="1">
        <v>0</v>
      </c>
      <c r="U154" s="1">
        <v>0</v>
      </c>
      <c r="V154" s="33" t="s">
        <v>479</v>
      </c>
      <c r="W154" s="1">
        <v>2024</v>
      </c>
      <c r="X154" s="40">
        <v>2026</v>
      </c>
      <c r="Y154" s="1">
        <v>1.7210624899999998</v>
      </c>
      <c r="Z154" s="1">
        <v>2026</v>
      </c>
      <c r="AA154" s="1">
        <v>2027</v>
      </c>
      <c r="AB154" s="1">
        <v>17.324576390000001</v>
      </c>
      <c r="AC154" s="1">
        <v>2028</v>
      </c>
      <c r="AD154" s="1" t="s">
        <v>481</v>
      </c>
    </row>
    <row r="155" spans="1:30" ht="56.25" x14ac:dyDescent="0.2">
      <c r="A155" s="1" t="s">
        <v>16</v>
      </c>
      <c r="B155" s="1" t="s">
        <v>385</v>
      </c>
      <c r="C155" s="5" t="s">
        <v>530</v>
      </c>
      <c r="D155" s="1" t="s">
        <v>12</v>
      </c>
      <c r="E155" s="11">
        <v>3</v>
      </c>
      <c r="F155" s="1" t="s">
        <v>606</v>
      </c>
      <c r="G155" s="12">
        <v>314.68279377410266</v>
      </c>
      <c r="H155" s="1" t="s">
        <v>12</v>
      </c>
      <c r="I155" s="1" t="s">
        <v>164</v>
      </c>
      <c r="J155" s="26">
        <v>47.61</v>
      </c>
      <c r="K155" s="26">
        <f t="shared" si="18"/>
        <v>47.610000020000001</v>
      </c>
      <c r="L155" s="1">
        <v>0</v>
      </c>
      <c r="M155" s="1">
        <v>0</v>
      </c>
      <c r="N155" s="26">
        <v>3.3888599999999996E-3</v>
      </c>
      <c r="O155" s="26">
        <v>3.25</v>
      </c>
      <c r="P155" s="26">
        <v>0.90285375999999995</v>
      </c>
      <c r="Q155" s="26">
        <v>43.453757400000001</v>
      </c>
      <c r="R155" s="26">
        <v>0</v>
      </c>
      <c r="S155" s="1">
        <v>0</v>
      </c>
      <c r="T155" s="1">
        <v>0</v>
      </c>
      <c r="U155" s="1">
        <v>0</v>
      </c>
      <c r="V155" s="33" t="s">
        <v>479</v>
      </c>
      <c r="W155" s="1">
        <v>2024</v>
      </c>
      <c r="X155" s="40">
        <v>2026</v>
      </c>
      <c r="Y155" s="1">
        <v>3.2562128899999996</v>
      </c>
      <c r="Z155" s="1">
        <v>2026</v>
      </c>
      <c r="AA155" s="1">
        <v>2027</v>
      </c>
      <c r="AB155" s="1">
        <v>44.355500749999997</v>
      </c>
      <c r="AC155" s="1">
        <v>2028</v>
      </c>
      <c r="AD155" s="1" t="s">
        <v>481</v>
      </c>
    </row>
    <row r="156" spans="1:30" ht="56.25" x14ac:dyDescent="0.2">
      <c r="A156" s="1" t="s">
        <v>16</v>
      </c>
      <c r="B156" s="1" t="s">
        <v>386</v>
      </c>
      <c r="C156" s="5" t="s">
        <v>531</v>
      </c>
      <c r="D156" s="1" t="s">
        <v>12</v>
      </c>
      <c r="E156" s="11">
        <v>1.6</v>
      </c>
      <c r="F156" s="1" t="s">
        <v>606</v>
      </c>
      <c r="G156" s="12">
        <v>49.510497283483268</v>
      </c>
      <c r="H156" s="1" t="s">
        <v>12</v>
      </c>
      <c r="I156" s="1" t="s">
        <v>164</v>
      </c>
      <c r="J156" s="26">
        <v>25.391999999999999</v>
      </c>
      <c r="K156" s="26">
        <f t="shared" si="18"/>
        <v>25.391999990000002</v>
      </c>
      <c r="L156" s="1">
        <v>0</v>
      </c>
      <c r="M156" s="1">
        <v>0</v>
      </c>
      <c r="N156" s="26">
        <v>1.79934E-3</v>
      </c>
      <c r="O156" s="26">
        <v>2.2705132100000003</v>
      </c>
      <c r="P156" s="26">
        <v>0.1473807</v>
      </c>
      <c r="Q156" s="26">
        <v>22.972306740000001</v>
      </c>
      <c r="R156" s="26">
        <v>0</v>
      </c>
      <c r="S156" s="1">
        <v>0</v>
      </c>
      <c r="T156" s="1">
        <v>0</v>
      </c>
      <c r="U156" s="1">
        <v>0</v>
      </c>
      <c r="V156" s="33" t="s">
        <v>479</v>
      </c>
      <c r="W156" s="1">
        <v>2024</v>
      </c>
      <c r="X156" s="40">
        <v>2026</v>
      </c>
      <c r="Y156" s="1">
        <v>2.2738119999999999</v>
      </c>
      <c r="Z156" s="1">
        <v>2026</v>
      </c>
      <c r="AA156" s="1">
        <v>2027</v>
      </c>
      <c r="AB156" s="1">
        <v>23.119775600000001</v>
      </c>
      <c r="AC156" s="1">
        <v>2028</v>
      </c>
      <c r="AD156" s="1" t="s">
        <v>481</v>
      </c>
    </row>
    <row r="157" spans="1:30" ht="56.25" x14ac:dyDescent="0.2">
      <c r="A157" s="1" t="s">
        <v>16</v>
      </c>
      <c r="B157" s="1" t="s">
        <v>387</v>
      </c>
      <c r="C157" s="5" t="s">
        <v>532</v>
      </c>
      <c r="D157" s="1" t="s">
        <v>12</v>
      </c>
      <c r="E157" s="11">
        <v>2.8</v>
      </c>
      <c r="F157" s="1" t="s">
        <v>606</v>
      </c>
      <c r="G157" s="12">
        <v>91.99799120627857</v>
      </c>
      <c r="H157" s="1" t="s">
        <v>12</v>
      </c>
      <c r="I157" s="1" t="s">
        <v>164</v>
      </c>
      <c r="J157" s="26">
        <v>44.435999990000006</v>
      </c>
      <c r="K157" s="26">
        <f t="shared" si="18"/>
        <v>44.435999989999999</v>
      </c>
      <c r="L157" s="1">
        <v>0</v>
      </c>
      <c r="M157" s="1">
        <v>0</v>
      </c>
      <c r="N157" s="26">
        <v>3.1569399999999996E-3</v>
      </c>
      <c r="O157" s="26">
        <v>3.03333333</v>
      </c>
      <c r="P157" s="26">
        <v>0.84266947999999997</v>
      </c>
      <c r="Q157" s="26">
        <v>40.55684024</v>
      </c>
      <c r="R157" s="26">
        <v>0</v>
      </c>
      <c r="S157" s="1">
        <v>0</v>
      </c>
      <c r="T157" s="1">
        <v>0</v>
      </c>
      <c r="U157" s="1">
        <v>0</v>
      </c>
      <c r="V157" s="33" t="s">
        <v>479</v>
      </c>
      <c r="W157" s="1">
        <v>2024</v>
      </c>
      <c r="X157" s="40">
        <v>2026</v>
      </c>
      <c r="Y157" s="1">
        <v>3.0391210500000003</v>
      </c>
      <c r="Z157" s="1">
        <v>2026</v>
      </c>
      <c r="AA157" s="1">
        <v>2027</v>
      </c>
      <c r="AB157" s="1">
        <v>41.398638130000002</v>
      </c>
      <c r="AC157" s="1">
        <v>2028</v>
      </c>
      <c r="AD157" s="1" t="s">
        <v>481</v>
      </c>
    </row>
    <row r="158" spans="1:30" ht="56.25" x14ac:dyDescent="0.2">
      <c r="A158" s="1" t="s">
        <v>16</v>
      </c>
      <c r="B158" s="1" t="s">
        <v>388</v>
      </c>
      <c r="C158" s="5" t="s">
        <v>533</v>
      </c>
      <c r="D158" s="1" t="s">
        <v>12</v>
      </c>
      <c r="E158" s="11">
        <v>1.5</v>
      </c>
      <c r="F158" s="1" t="s">
        <v>606</v>
      </c>
      <c r="G158" s="12">
        <v>71.388983279507286</v>
      </c>
      <c r="H158" s="1" t="s">
        <v>12</v>
      </c>
      <c r="I158" s="1" t="s">
        <v>164</v>
      </c>
      <c r="J158" s="26">
        <v>23.805000010000001</v>
      </c>
      <c r="K158" s="26">
        <f t="shared" si="18"/>
        <v>23.805000010000001</v>
      </c>
      <c r="L158" s="1">
        <v>0</v>
      </c>
      <c r="M158" s="1">
        <v>0</v>
      </c>
      <c r="N158" s="26">
        <v>1.6761199999999999E-3</v>
      </c>
      <c r="O158" s="26">
        <v>2.1511961900000003</v>
      </c>
      <c r="P158" s="26">
        <v>0.13966442000000001</v>
      </c>
      <c r="Q158" s="26">
        <v>21.512463279999999</v>
      </c>
      <c r="R158" s="26">
        <v>0</v>
      </c>
      <c r="S158" s="1">
        <v>0</v>
      </c>
      <c r="T158" s="1">
        <v>0</v>
      </c>
      <c r="U158" s="1">
        <v>0</v>
      </c>
      <c r="V158" s="33" t="s">
        <v>479</v>
      </c>
      <c r="W158" s="1">
        <v>2024</v>
      </c>
      <c r="X158" s="40">
        <v>2026</v>
      </c>
      <c r="Y158" s="1">
        <v>2.1542690700000002</v>
      </c>
      <c r="Z158" s="1">
        <v>2026</v>
      </c>
      <c r="AA158" s="1">
        <v>2027</v>
      </c>
      <c r="AB158" s="1">
        <v>21.652381929999997</v>
      </c>
      <c r="AC158" s="1">
        <v>2028</v>
      </c>
      <c r="AD158" s="1" t="s">
        <v>481</v>
      </c>
    </row>
    <row r="159" spans="1:30" ht="56.25" x14ac:dyDescent="0.2">
      <c r="A159" s="1" t="s">
        <v>16</v>
      </c>
      <c r="B159" s="1" t="s">
        <v>389</v>
      </c>
      <c r="C159" s="5" t="s">
        <v>534</v>
      </c>
      <c r="D159" s="1" t="s">
        <v>12</v>
      </c>
      <c r="E159" s="11">
        <v>0.9</v>
      </c>
      <c r="F159" s="1" t="s">
        <v>606</v>
      </c>
      <c r="G159" s="12">
        <v>52.79507844446541</v>
      </c>
      <c r="H159" s="1" t="s">
        <v>12</v>
      </c>
      <c r="I159" s="1" t="s">
        <v>164</v>
      </c>
      <c r="J159" s="26">
        <v>14.283000000000001</v>
      </c>
      <c r="K159" s="26">
        <f t="shared" si="18"/>
        <v>14.282999999999999</v>
      </c>
      <c r="L159" s="1">
        <v>0</v>
      </c>
      <c r="M159" s="1">
        <v>0</v>
      </c>
      <c r="N159" s="26">
        <v>1.0056500000000001E-3</v>
      </c>
      <c r="O159" s="26">
        <v>1.2905724600000001</v>
      </c>
      <c r="P159" s="26">
        <v>8.3789119999999995E-2</v>
      </c>
      <c r="Q159" s="26">
        <v>12.907632769999999</v>
      </c>
      <c r="R159" s="26">
        <v>0</v>
      </c>
      <c r="S159" s="1">
        <v>0</v>
      </c>
      <c r="T159" s="1">
        <v>0</v>
      </c>
      <c r="U159" s="1">
        <v>0</v>
      </c>
      <c r="V159" s="33" t="s">
        <v>479</v>
      </c>
      <c r="W159" s="1">
        <v>2024</v>
      </c>
      <c r="X159" s="40">
        <v>2026</v>
      </c>
      <c r="Y159" s="1">
        <v>1.29241615</v>
      </c>
      <c r="Z159" s="1">
        <v>2026</v>
      </c>
      <c r="AA159" s="1">
        <v>2027</v>
      </c>
      <c r="AB159" s="1">
        <v>12.99224295</v>
      </c>
      <c r="AC159" s="1">
        <v>2028</v>
      </c>
      <c r="AD159" s="1" t="s">
        <v>481</v>
      </c>
    </row>
    <row r="160" spans="1:30" ht="56.25" x14ac:dyDescent="0.2">
      <c r="A160" s="1" t="s">
        <v>16</v>
      </c>
      <c r="B160" s="1" t="s">
        <v>390</v>
      </c>
      <c r="C160" s="5" t="s">
        <v>535</v>
      </c>
      <c r="D160" s="1" t="s">
        <v>12</v>
      </c>
      <c r="E160" s="11">
        <v>2.7</v>
      </c>
      <c r="F160" s="1" t="s">
        <v>606</v>
      </c>
      <c r="G160" s="12">
        <v>42.049440814741999</v>
      </c>
      <c r="H160" s="1" t="s">
        <v>12</v>
      </c>
      <c r="I160" s="1" t="s">
        <v>164</v>
      </c>
      <c r="J160" s="26">
        <v>42.850674850000004</v>
      </c>
      <c r="K160" s="26">
        <f t="shared" si="18"/>
        <v>42.850674859999998</v>
      </c>
      <c r="L160" s="1">
        <v>0</v>
      </c>
      <c r="M160" s="1">
        <v>0</v>
      </c>
      <c r="N160" s="26">
        <v>3.0494200000000002E-3</v>
      </c>
      <c r="O160" s="26">
        <v>5.7435451500000001</v>
      </c>
      <c r="P160" s="26">
        <v>1.3954891999999999</v>
      </c>
      <c r="Q160" s="26">
        <v>35.708591089999999</v>
      </c>
      <c r="R160" s="26">
        <v>0</v>
      </c>
      <c r="S160" s="1">
        <v>0</v>
      </c>
      <c r="T160" s="1">
        <v>0</v>
      </c>
      <c r="U160" s="1">
        <v>0</v>
      </c>
      <c r="V160" s="33" t="s">
        <v>479</v>
      </c>
      <c r="W160" s="1">
        <v>2024</v>
      </c>
      <c r="X160" s="40">
        <v>2026</v>
      </c>
      <c r="Y160" s="1">
        <v>4.3531383300000002</v>
      </c>
      <c r="Z160" s="1">
        <v>2026</v>
      </c>
      <c r="AA160" s="1">
        <v>2027</v>
      </c>
      <c r="AB160" s="1">
        <v>38.497540149999999</v>
      </c>
      <c r="AC160" s="1">
        <v>2028</v>
      </c>
      <c r="AD160" s="1" t="s">
        <v>481</v>
      </c>
    </row>
    <row r="161" spans="1:30" ht="45" x14ac:dyDescent="0.2">
      <c r="A161" s="1" t="s">
        <v>16</v>
      </c>
      <c r="B161" s="1" t="s">
        <v>391</v>
      </c>
      <c r="C161" s="5" t="s">
        <v>536</v>
      </c>
      <c r="D161" s="1" t="s">
        <v>12</v>
      </c>
      <c r="E161" s="11">
        <v>1.7</v>
      </c>
      <c r="F161" s="1" t="s">
        <v>606</v>
      </c>
      <c r="G161" s="12">
        <v>76.235219275229781</v>
      </c>
      <c r="H161" s="1" t="s">
        <v>12</v>
      </c>
      <c r="I161" s="1" t="s">
        <v>164</v>
      </c>
      <c r="J161" s="26">
        <v>35.060229329999991</v>
      </c>
      <c r="K161" s="26">
        <f t="shared" si="18"/>
        <v>35.060229329999999</v>
      </c>
      <c r="L161" s="1">
        <v>2.2059200000000001E-2</v>
      </c>
      <c r="M161" s="1">
        <v>1.14341805</v>
      </c>
      <c r="N161" s="26">
        <v>28.50557882</v>
      </c>
      <c r="O161" s="26">
        <v>0.57130992999999997</v>
      </c>
      <c r="P161" s="26">
        <v>4.8178633299999998</v>
      </c>
      <c r="Q161" s="26">
        <v>0</v>
      </c>
      <c r="R161" s="26">
        <v>0</v>
      </c>
      <c r="S161" s="1">
        <v>0</v>
      </c>
      <c r="T161" s="1">
        <v>0</v>
      </c>
      <c r="U161" s="1">
        <v>0</v>
      </c>
      <c r="V161" s="33" t="s">
        <v>479</v>
      </c>
      <c r="W161" s="1">
        <v>2022</v>
      </c>
      <c r="X161" s="40">
        <v>2024</v>
      </c>
      <c r="Y161" s="1">
        <v>3.9242935500000002</v>
      </c>
      <c r="Z161" s="40">
        <v>2024</v>
      </c>
      <c r="AA161" s="40">
        <v>2025</v>
      </c>
      <c r="AB161" s="1">
        <v>31.059033900000003</v>
      </c>
      <c r="AC161" s="40">
        <v>2026</v>
      </c>
      <c r="AD161" s="1" t="s">
        <v>481</v>
      </c>
    </row>
    <row r="162" spans="1:30" ht="56.25" x14ac:dyDescent="0.2">
      <c r="A162" s="1" t="s">
        <v>16</v>
      </c>
      <c r="B162" s="1" t="s">
        <v>392</v>
      </c>
      <c r="C162" s="5" t="s">
        <v>537</v>
      </c>
      <c r="D162" s="1" t="s">
        <v>12</v>
      </c>
      <c r="E162" s="11">
        <v>2.5</v>
      </c>
      <c r="F162" s="1" t="s">
        <v>606</v>
      </c>
      <c r="G162" s="12">
        <v>187.72619043071842</v>
      </c>
      <c r="H162" s="1" t="s">
        <v>12</v>
      </c>
      <c r="I162" s="1" t="s">
        <v>164</v>
      </c>
      <c r="J162" s="26">
        <v>43.054118989999999</v>
      </c>
      <c r="K162" s="26">
        <f t="shared" si="18"/>
        <v>43.054117669999997</v>
      </c>
      <c r="L162" s="1">
        <v>3.2262659999999999E-2</v>
      </c>
      <c r="M162" s="1">
        <v>1.6714762700000001</v>
      </c>
      <c r="N162" s="26">
        <v>24.585379599999996</v>
      </c>
      <c r="O162" s="26">
        <v>16.76499914</v>
      </c>
      <c r="P162" s="26">
        <v>0</v>
      </c>
      <c r="Q162" s="26">
        <v>0</v>
      </c>
      <c r="R162" s="26">
        <v>0</v>
      </c>
      <c r="S162" s="1">
        <v>0</v>
      </c>
      <c r="T162" s="1">
        <v>0</v>
      </c>
      <c r="U162" s="1">
        <v>0</v>
      </c>
      <c r="V162" s="33" t="s">
        <v>479</v>
      </c>
      <c r="W162" s="1">
        <v>2022</v>
      </c>
      <c r="X162" s="40">
        <v>2024</v>
      </c>
      <c r="Y162" s="1">
        <v>5.7374583999999995</v>
      </c>
      <c r="Z162" s="40">
        <v>2024</v>
      </c>
      <c r="AA162" s="40">
        <v>2025</v>
      </c>
      <c r="AB162" s="1">
        <v>37.493709469999999</v>
      </c>
      <c r="AC162" s="40">
        <v>2026</v>
      </c>
      <c r="AD162" s="1" t="s">
        <v>481</v>
      </c>
    </row>
    <row r="163" spans="1:30" ht="45" x14ac:dyDescent="0.2">
      <c r="A163" s="1" t="s">
        <v>16</v>
      </c>
      <c r="B163" s="1" t="s">
        <v>393</v>
      </c>
      <c r="C163" s="5" t="s">
        <v>538</v>
      </c>
      <c r="D163" s="1" t="s">
        <v>12</v>
      </c>
      <c r="E163" s="11">
        <v>4.0999999999999996</v>
      </c>
      <c r="F163" s="1" t="s">
        <v>606</v>
      </c>
      <c r="G163" s="12">
        <v>752.62720796014446</v>
      </c>
      <c r="H163" s="1" t="s">
        <v>12</v>
      </c>
      <c r="I163" s="1" t="s">
        <v>164</v>
      </c>
      <c r="J163" s="26">
        <v>100.08733464999999</v>
      </c>
      <c r="K163" s="26">
        <f t="shared" si="18"/>
        <v>100.08733465</v>
      </c>
      <c r="L163" s="1">
        <v>4.1779030000000002E-2</v>
      </c>
      <c r="M163" s="1">
        <v>2.1651160299999996</v>
      </c>
      <c r="N163" s="26">
        <v>36.035756469999995</v>
      </c>
      <c r="O163" s="26">
        <v>43.03957415</v>
      </c>
      <c r="P163" s="26">
        <v>18.805108970000003</v>
      </c>
      <c r="Q163" s="26">
        <v>0</v>
      </c>
      <c r="R163" s="26">
        <v>0</v>
      </c>
      <c r="S163" s="1">
        <v>0</v>
      </c>
      <c r="T163" s="1">
        <v>0</v>
      </c>
      <c r="U163" s="1">
        <v>0</v>
      </c>
      <c r="V163" s="33" t="s">
        <v>479</v>
      </c>
      <c r="W163" s="1">
        <v>2022</v>
      </c>
      <c r="X163" s="40">
        <v>2024</v>
      </c>
      <c r="Y163" s="1">
        <v>7.4319427599999992</v>
      </c>
      <c r="Z163" s="40">
        <v>2024</v>
      </c>
      <c r="AA163" s="40">
        <v>2025</v>
      </c>
      <c r="AB163" s="1">
        <v>121.66981487999999</v>
      </c>
      <c r="AC163" s="40">
        <v>2026</v>
      </c>
      <c r="AD163" s="1" t="s">
        <v>481</v>
      </c>
    </row>
    <row r="164" spans="1:30" ht="45" x14ac:dyDescent="0.2">
      <c r="A164" s="1" t="s">
        <v>16</v>
      </c>
      <c r="B164" s="1" t="s">
        <v>394</v>
      </c>
      <c r="C164" s="5" t="s">
        <v>539</v>
      </c>
      <c r="D164" s="1" t="s">
        <v>12</v>
      </c>
      <c r="E164" s="41">
        <v>0.4</v>
      </c>
      <c r="F164" s="1" t="s">
        <v>606</v>
      </c>
      <c r="G164" s="12">
        <v>5.9383777216376803</v>
      </c>
      <c r="H164" s="1" t="s">
        <v>12</v>
      </c>
      <c r="I164" s="1" t="s">
        <v>164</v>
      </c>
      <c r="J164" s="26">
        <v>7.3237532800000009</v>
      </c>
      <c r="K164" s="26">
        <f t="shared" si="18"/>
        <v>7.32375328</v>
      </c>
      <c r="L164" s="1">
        <v>1.5455450000000001E-2</v>
      </c>
      <c r="M164" s="1">
        <v>0.80127212000000003</v>
      </c>
      <c r="N164" s="26">
        <v>1.9371859699999998</v>
      </c>
      <c r="O164" s="26">
        <v>3.76345624</v>
      </c>
      <c r="P164" s="26">
        <v>0.80638350000000003</v>
      </c>
      <c r="Q164" s="26">
        <v>0</v>
      </c>
      <c r="R164" s="26">
        <v>0</v>
      </c>
      <c r="S164" s="1">
        <v>0</v>
      </c>
      <c r="T164" s="1">
        <v>0</v>
      </c>
      <c r="U164" s="1">
        <v>0</v>
      </c>
      <c r="V164" s="33" t="s">
        <v>479</v>
      </c>
      <c r="W164" s="1">
        <v>2022</v>
      </c>
      <c r="X164" s="40">
        <v>2024</v>
      </c>
      <c r="Y164" s="1">
        <v>2.7499141300000001</v>
      </c>
      <c r="Z164" s="1">
        <v>2024</v>
      </c>
      <c r="AA164" s="1">
        <v>2025</v>
      </c>
      <c r="AB164" s="1">
        <v>4.5484727599999992</v>
      </c>
      <c r="AC164" s="1">
        <v>2026</v>
      </c>
      <c r="AD164" s="1" t="s">
        <v>481</v>
      </c>
    </row>
    <row r="165" spans="1:30" ht="45" x14ac:dyDescent="0.2">
      <c r="A165" s="1" t="s">
        <v>16</v>
      </c>
      <c r="B165" s="1" t="s">
        <v>395</v>
      </c>
      <c r="C165" s="5" t="s">
        <v>540</v>
      </c>
      <c r="D165" s="1" t="s">
        <v>12</v>
      </c>
      <c r="E165" s="41">
        <v>0.8</v>
      </c>
      <c r="F165" s="1" t="s">
        <v>606</v>
      </c>
      <c r="G165" s="12">
        <v>46.917983408910054</v>
      </c>
      <c r="H165" s="1" t="s">
        <v>12</v>
      </c>
      <c r="I165" s="1" t="s">
        <v>164</v>
      </c>
      <c r="J165" s="26">
        <v>12.264517889999999</v>
      </c>
      <c r="K165" s="26">
        <f t="shared" si="18"/>
        <v>12.2645179</v>
      </c>
      <c r="L165" s="1">
        <v>1.9959069999999999E-2</v>
      </c>
      <c r="M165" s="1">
        <v>1.0341872599999999</v>
      </c>
      <c r="N165" s="26">
        <v>2.4966337800000002</v>
      </c>
      <c r="O165" s="26">
        <v>8.0635635899999993</v>
      </c>
      <c r="P165" s="26">
        <v>0.65017419999999992</v>
      </c>
      <c r="Q165" s="26">
        <v>0</v>
      </c>
      <c r="R165" s="26">
        <v>0</v>
      </c>
      <c r="S165" s="1">
        <v>0</v>
      </c>
      <c r="T165" s="1">
        <v>0</v>
      </c>
      <c r="U165" s="1">
        <v>0</v>
      </c>
      <c r="V165" s="33" t="s">
        <v>479</v>
      </c>
      <c r="W165" s="1">
        <v>2022</v>
      </c>
      <c r="X165" s="40">
        <v>2024</v>
      </c>
      <c r="Y165" s="1">
        <v>3.5494097899999999</v>
      </c>
      <c r="Z165" s="1">
        <v>2024</v>
      </c>
      <c r="AA165" s="1">
        <v>2025</v>
      </c>
      <c r="AB165" s="1">
        <v>8.6868191100000001</v>
      </c>
      <c r="AC165" s="1">
        <v>2026</v>
      </c>
      <c r="AD165" s="1" t="s">
        <v>481</v>
      </c>
    </row>
    <row r="166" spans="1:30" ht="45" x14ac:dyDescent="0.2">
      <c r="A166" s="1" t="s">
        <v>16</v>
      </c>
      <c r="B166" s="1" t="s">
        <v>396</v>
      </c>
      <c r="C166" s="5" t="s">
        <v>541</v>
      </c>
      <c r="D166" s="1" t="s">
        <v>12</v>
      </c>
      <c r="E166" s="11">
        <v>3.2</v>
      </c>
      <c r="F166" s="1" t="s">
        <v>606</v>
      </c>
      <c r="G166" s="12">
        <v>78.509720548966754</v>
      </c>
      <c r="H166" s="1" t="s">
        <v>12</v>
      </c>
      <c r="I166" s="1" t="s">
        <v>164</v>
      </c>
      <c r="J166" s="26">
        <v>21.554554599999999</v>
      </c>
      <c r="K166" s="26">
        <f t="shared" si="18"/>
        <v>21.554554600000003</v>
      </c>
      <c r="L166" s="1">
        <v>3.4562230000000006E-2</v>
      </c>
      <c r="M166" s="1">
        <v>1.79109042</v>
      </c>
      <c r="N166" s="26">
        <v>4.3278556799999999</v>
      </c>
      <c r="O166" s="26">
        <v>14.366793250000001</v>
      </c>
      <c r="P166" s="26">
        <v>1.03425302</v>
      </c>
      <c r="Q166" s="26">
        <v>0</v>
      </c>
      <c r="R166" s="26">
        <v>0</v>
      </c>
      <c r="S166" s="1">
        <v>0</v>
      </c>
      <c r="T166" s="1">
        <v>0</v>
      </c>
      <c r="U166" s="1">
        <v>0</v>
      </c>
      <c r="V166" s="33" t="s">
        <v>479</v>
      </c>
      <c r="W166" s="1">
        <v>2022</v>
      </c>
      <c r="X166" s="40">
        <v>2024</v>
      </c>
      <c r="Y166" s="1">
        <v>6.1471473000000003</v>
      </c>
      <c r="Z166" s="1">
        <v>2024</v>
      </c>
      <c r="AA166" s="1">
        <v>2025</v>
      </c>
      <c r="AB166" s="1">
        <v>15.359773130000001</v>
      </c>
      <c r="AC166" s="1">
        <v>2026</v>
      </c>
      <c r="AD166" s="1" t="s">
        <v>481</v>
      </c>
    </row>
    <row r="167" spans="1:30" ht="45" x14ac:dyDescent="0.2">
      <c r="A167" s="1" t="s">
        <v>16</v>
      </c>
      <c r="B167" s="1" t="s">
        <v>397</v>
      </c>
      <c r="C167" s="5" t="s">
        <v>542</v>
      </c>
      <c r="D167" s="1" t="s">
        <v>12</v>
      </c>
      <c r="E167" s="41">
        <v>3.7</v>
      </c>
      <c r="F167" s="1" t="s">
        <v>606</v>
      </c>
      <c r="G167" s="12">
        <v>95.89697156167145</v>
      </c>
      <c r="H167" s="1" t="s">
        <v>12</v>
      </c>
      <c r="I167" s="1" t="s">
        <v>164</v>
      </c>
      <c r="J167" s="26">
        <v>45.912401959999997</v>
      </c>
      <c r="K167" s="26">
        <f t="shared" si="18"/>
        <v>45.912401959999997</v>
      </c>
      <c r="L167" s="1">
        <v>5.142161E-2</v>
      </c>
      <c r="M167" s="1">
        <v>2.6653850499999998</v>
      </c>
      <c r="N167" s="26">
        <v>6.4345378500000008</v>
      </c>
      <c r="O167" s="26">
        <v>26.74534371</v>
      </c>
      <c r="P167" s="26">
        <v>10.015713739999999</v>
      </c>
      <c r="Q167" s="26">
        <v>0</v>
      </c>
      <c r="R167" s="26">
        <v>0</v>
      </c>
      <c r="S167" s="1">
        <v>0</v>
      </c>
      <c r="T167" s="1">
        <v>0</v>
      </c>
      <c r="U167" s="1">
        <v>0</v>
      </c>
      <c r="V167" s="33" t="s">
        <v>479</v>
      </c>
      <c r="W167" s="1">
        <v>2022</v>
      </c>
      <c r="X167" s="40">
        <v>2025</v>
      </c>
      <c r="Y167" s="1">
        <v>9.1477965600000015</v>
      </c>
      <c r="Z167" s="40">
        <v>2025</v>
      </c>
      <c r="AA167" s="40">
        <v>2026</v>
      </c>
      <c r="AB167" s="1">
        <v>36.71231745</v>
      </c>
      <c r="AC167" s="40">
        <v>2027</v>
      </c>
      <c r="AD167" s="1" t="s">
        <v>481</v>
      </c>
    </row>
    <row r="168" spans="1:30" ht="45" x14ac:dyDescent="0.2">
      <c r="A168" s="1" t="s">
        <v>16</v>
      </c>
      <c r="B168" s="1" t="s">
        <v>398</v>
      </c>
      <c r="C168" s="5" t="s">
        <v>543</v>
      </c>
      <c r="D168" s="1" t="s">
        <v>12</v>
      </c>
      <c r="E168" s="41">
        <v>1</v>
      </c>
      <c r="F168" s="1" t="s">
        <v>606</v>
      </c>
      <c r="G168" s="12">
        <v>22.00385329754894</v>
      </c>
      <c r="H168" s="1" t="s">
        <v>12</v>
      </c>
      <c r="I168" s="1" t="s">
        <v>164</v>
      </c>
      <c r="J168" s="26">
        <v>15.274475600000002</v>
      </c>
      <c r="K168" s="26">
        <f t="shared" si="18"/>
        <v>15.274475600000002</v>
      </c>
      <c r="L168" s="1">
        <v>2.5182450000000002E-2</v>
      </c>
      <c r="M168" s="1">
        <v>1.3045360800000001</v>
      </c>
      <c r="N168" s="26">
        <v>3.1530937900000002</v>
      </c>
      <c r="O168" s="26">
        <v>9.4673298200000016</v>
      </c>
      <c r="P168" s="26">
        <v>1.3243334599999999</v>
      </c>
      <c r="Q168" s="26">
        <v>0</v>
      </c>
      <c r="R168" s="26">
        <v>0</v>
      </c>
      <c r="S168" s="1">
        <v>0</v>
      </c>
      <c r="T168" s="1">
        <v>0</v>
      </c>
      <c r="U168" s="1">
        <v>0</v>
      </c>
      <c r="V168" s="33" t="s">
        <v>479</v>
      </c>
      <c r="W168" s="1">
        <v>2022</v>
      </c>
      <c r="X168" s="40">
        <v>2024</v>
      </c>
      <c r="Y168" s="1">
        <v>4.4772603599999998</v>
      </c>
      <c r="Z168" s="1">
        <v>2024</v>
      </c>
      <c r="AA168" s="1">
        <v>2025</v>
      </c>
      <c r="AB168" s="1">
        <v>10.76135764</v>
      </c>
      <c r="AC168" s="1">
        <v>2026</v>
      </c>
      <c r="AD168" s="1" t="s">
        <v>481</v>
      </c>
    </row>
    <row r="169" spans="1:30" ht="45" x14ac:dyDescent="0.2">
      <c r="A169" s="1" t="s">
        <v>16</v>
      </c>
      <c r="B169" s="1" t="s">
        <v>399</v>
      </c>
      <c r="C169" s="5" t="s">
        <v>544</v>
      </c>
      <c r="D169" s="1" t="s">
        <v>12</v>
      </c>
      <c r="E169" s="11">
        <v>3.1</v>
      </c>
      <c r="F169" s="1" t="s">
        <v>606</v>
      </c>
      <c r="G169" s="12">
        <v>45.9058528357358</v>
      </c>
      <c r="H169" s="1" t="s">
        <v>12</v>
      </c>
      <c r="I169" s="1" t="s">
        <v>164</v>
      </c>
      <c r="J169" s="26">
        <v>33.751217089999997</v>
      </c>
      <c r="K169" s="26">
        <f t="shared" si="18"/>
        <v>33.751217089999997</v>
      </c>
      <c r="L169" s="1">
        <v>3.5406690000000005E-2</v>
      </c>
      <c r="M169" s="1">
        <v>1.83502528</v>
      </c>
      <c r="N169" s="26">
        <v>4.4294654799999993</v>
      </c>
      <c r="O169" s="26">
        <v>21.61005682</v>
      </c>
      <c r="P169" s="26">
        <v>5.8412628199999999</v>
      </c>
      <c r="Q169" s="26">
        <v>0</v>
      </c>
      <c r="R169" s="26">
        <v>0</v>
      </c>
      <c r="S169" s="1">
        <v>0</v>
      </c>
      <c r="T169" s="1">
        <v>0</v>
      </c>
      <c r="U169" s="1">
        <v>0</v>
      </c>
      <c r="V169" s="33" t="s">
        <v>479</v>
      </c>
      <c r="W169" s="1">
        <v>2022</v>
      </c>
      <c r="X169" s="40">
        <v>2024</v>
      </c>
      <c r="Y169" s="1">
        <v>6.2979283299999995</v>
      </c>
      <c r="Z169" s="1">
        <v>2024</v>
      </c>
      <c r="AA169" s="1">
        <v>2025</v>
      </c>
      <c r="AB169" s="1">
        <v>27.608465670000001</v>
      </c>
      <c r="AC169" s="1">
        <v>2026</v>
      </c>
      <c r="AD169" s="1" t="s">
        <v>481</v>
      </c>
    </row>
    <row r="170" spans="1:30" ht="56.25" x14ac:dyDescent="0.2">
      <c r="A170" s="1" t="s">
        <v>16</v>
      </c>
      <c r="B170" s="1" t="s">
        <v>400</v>
      </c>
      <c r="C170" s="5" t="s">
        <v>545</v>
      </c>
      <c r="D170" s="1" t="s">
        <v>12</v>
      </c>
      <c r="E170" s="11">
        <v>4.9219999999999997</v>
      </c>
      <c r="F170" s="1" t="s">
        <v>606</v>
      </c>
      <c r="G170" s="12">
        <v>57.770968621199479</v>
      </c>
      <c r="H170" s="1" t="s">
        <v>12</v>
      </c>
      <c r="I170" s="1" t="s">
        <v>164</v>
      </c>
      <c r="J170" s="26">
        <v>78.113937250000006</v>
      </c>
      <c r="K170" s="26">
        <f t="shared" si="18"/>
        <v>78.113937250000006</v>
      </c>
      <c r="L170" s="1">
        <v>0</v>
      </c>
      <c r="M170" s="1">
        <v>0</v>
      </c>
      <c r="N170" s="26">
        <v>5.5791400000000007E-3</v>
      </c>
      <c r="O170" s="26">
        <v>10.60096643</v>
      </c>
      <c r="P170" s="26">
        <v>2.7039187600000001</v>
      </c>
      <c r="Q170" s="26">
        <v>64.803472920000004</v>
      </c>
      <c r="R170" s="26">
        <v>0</v>
      </c>
      <c r="S170" s="1">
        <v>0</v>
      </c>
      <c r="T170" s="1">
        <v>0</v>
      </c>
      <c r="U170" s="1">
        <v>0</v>
      </c>
      <c r="V170" s="33" t="s">
        <v>479</v>
      </c>
      <c r="W170" s="1">
        <v>2024</v>
      </c>
      <c r="X170" s="40">
        <v>2026</v>
      </c>
      <c r="Y170" s="1">
        <v>7.9063462200000005</v>
      </c>
      <c r="Z170" s="1">
        <v>2026</v>
      </c>
      <c r="AA170" s="1">
        <v>2027</v>
      </c>
      <c r="AB170" s="1">
        <v>70.207591329999886</v>
      </c>
      <c r="AC170" s="1">
        <v>2028</v>
      </c>
      <c r="AD170" s="1" t="s">
        <v>481</v>
      </c>
    </row>
    <row r="171" spans="1:30" ht="56.25" x14ac:dyDescent="0.2">
      <c r="A171" s="1" t="s">
        <v>16</v>
      </c>
      <c r="B171" s="1" t="s">
        <v>401</v>
      </c>
      <c r="C171" s="5" t="s">
        <v>546</v>
      </c>
      <c r="D171" s="1" t="s">
        <v>12</v>
      </c>
      <c r="E171" s="11">
        <v>5</v>
      </c>
      <c r="F171" s="1" t="s">
        <v>606</v>
      </c>
      <c r="G171" s="12">
        <v>160.37967723246362</v>
      </c>
      <c r="H171" s="1" t="s">
        <v>12</v>
      </c>
      <c r="I171" s="1" t="s">
        <v>164</v>
      </c>
      <c r="J171" s="26">
        <v>79.349999999999994</v>
      </c>
      <c r="K171" s="26">
        <f t="shared" si="18"/>
        <v>79.350000010000002</v>
      </c>
      <c r="L171" s="1">
        <v>0</v>
      </c>
      <c r="M171" s="1">
        <v>0</v>
      </c>
      <c r="N171" s="26">
        <v>5.666E-3</v>
      </c>
      <c r="O171" s="26">
        <v>6.4161318300000003</v>
      </c>
      <c r="P171" s="26">
        <v>0.4158946</v>
      </c>
      <c r="Q171" s="26">
        <v>72.512307579999998</v>
      </c>
      <c r="R171" s="26">
        <v>0</v>
      </c>
      <c r="S171" s="1">
        <v>0</v>
      </c>
      <c r="T171" s="1">
        <v>0</v>
      </c>
      <c r="U171" s="1">
        <v>0</v>
      </c>
      <c r="V171" s="33" t="s">
        <v>479</v>
      </c>
      <c r="W171" s="1">
        <v>2024</v>
      </c>
      <c r="X171" s="40">
        <v>2026</v>
      </c>
      <c r="Y171" s="1">
        <v>6.4265195000000004</v>
      </c>
      <c r="Z171" s="1">
        <v>2026</v>
      </c>
      <c r="AA171" s="1">
        <v>2027</v>
      </c>
      <c r="AB171" s="1">
        <v>72.92531468</v>
      </c>
      <c r="AC171" s="1">
        <v>2028</v>
      </c>
      <c r="AD171" s="1" t="s">
        <v>481</v>
      </c>
    </row>
    <row r="172" spans="1:30" ht="67.5" x14ac:dyDescent="0.2">
      <c r="A172" s="1" t="s">
        <v>16</v>
      </c>
      <c r="B172" s="1" t="s">
        <v>402</v>
      </c>
      <c r="C172" s="5" t="s">
        <v>547</v>
      </c>
      <c r="D172" s="1" t="s">
        <v>12</v>
      </c>
      <c r="E172" s="11">
        <v>5.2</v>
      </c>
      <c r="F172" s="1" t="s">
        <v>606</v>
      </c>
      <c r="G172" s="12">
        <v>62.844092646603009</v>
      </c>
      <c r="H172" s="1" t="s">
        <v>12</v>
      </c>
      <c r="I172" s="1" t="s">
        <v>164</v>
      </c>
      <c r="J172" s="26">
        <v>82.52578247999999</v>
      </c>
      <c r="K172" s="26">
        <f t="shared" si="18"/>
        <v>82.52578247999999</v>
      </c>
      <c r="L172" s="1">
        <v>0</v>
      </c>
      <c r="M172" s="1">
        <v>0</v>
      </c>
      <c r="N172" s="26">
        <v>5.8899500000000006E-3</v>
      </c>
      <c r="O172" s="26">
        <v>11.17515654</v>
      </c>
      <c r="P172" s="26">
        <v>2.7940345799999999</v>
      </c>
      <c r="Q172" s="26">
        <v>68.550701409999988</v>
      </c>
      <c r="R172" s="26">
        <v>0</v>
      </c>
      <c r="S172" s="1">
        <v>0</v>
      </c>
      <c r="T172" s="1">
        <v>0</v>
      </c>
      <c r="U172" s="1">
        <v>0</v>
      </c>
      <c r="V172" s="33" t="s">
        <v>479</v>
      </c>
      <c r="W172" s="1">
        <v>2024</v>
      </c>
      <c r="X172" s="40">
        <v>2026</v>
      </c>
      <c r="Y172" s="1">
        <v>8.3909385400000005</v>
      </c>
      <c r="Z172" s="1">
        <v>2026</v>
      </c>
      <c r="AA172" s="1">
        <v>2027</v>
      </c>
      <c r="AB172" s="1">
        <v>74.134846260000018</v>
      </c>
      <c r="AC172" s="1">
        <v>2028</v>
      </c>
      <c r="AD172" s="1" t="s">
        <v>481</v>
      </c>
    </row>
    <row r="173" spans="1:30" ht="45" x14ac:dyDescent="0.2">
      <c r="A173" s="1" t="s">
        <v>16</v>
      </c>
      <c r="B173" s="1" t="s">
        <v>403</v>
      </c>
      <c r="C173" s="5" t="s">
        <v>548</v>
      </c>
      <c r="D173" s="1" t="s">
        <v>12</v>
      </c>
      <c r="E173" s="41">
        <v>2.7</v>
      </c>
      <c r="F173" s="1" t="s">
        <v>606</v>
      </c>
      <c r="G173" s="12">
        <v>130.19611681492921</v>
      </c>
      <c r="H173" s="1" t="s">
        <v>12</v>
      </c>
      <c r="I173" s="1" t="s">
        <v>164</v>
      </c>
      <c r="J173" s="26">
        <v>38.355632479999997</v>
      </c>
      <c r="K173" s="26">
        <f t="shared" si="18"/>
        <v>38.35563247999999</v>
      </c>
      <c r="L173" s="1">
        <v>6.1543609999999999E-2</v>
      </c>
      <c r="M173" s="1">
        <v>3.2712240600000002</v>
      </c>
      <c r="N173" s="26">
        <v>33.93085735999999</v>
      </c>
      <c r="O173" s="26">
        <v>1.0920074500000001</v>
      </c>
      <c r="P173" s="26">
        <v>0</v>
      </c>
      <c r="Q173" s="26">
        <v>0</v>
      </c>
      <c r="R173" s="26">
        <v>0</v>
      </c>
      <c r="S173" s="1">
        <v>0</v>
      </c>
      <c r="T173" s="1">
        <v>0</v>
      </c>
      <c r="U173" s="1">
        <v>0</v>
      </c>
      <c r="V173" s="33" t="s">
        <v>479</v>
      </c>
      <c r="W173" s="1">
        <v>2022</v>
      </c>
      <c r="X173" s="40">
        <v>2024</v>
      </c>
      <c r="Y173" s="1">
        <v>11.02047001</v>
      </c>
      <c r="Z173" s="40">
        <v>2024</v>
      </c>
      <c r="AA173" s="1">
        <v>2024</v>
      </c>
      <c r="AB173" s="1">
        <v>28.707241130000003</v>
      </c>
      <c r="AC173" s="1">
        <v>2025</v>
      </c>
      <c r="AD173" s="1" t="s">
        <v>481</v>
      </c>
    </row>
    <row r="174" spans="1:30" ht="45" x14ac:dyDescent="0.2">
      <c r="A174" s="1" t="s">
        <v>16</v>
      </c>
      <c r="B174" s="1" t="s">
        <v>404</v>
      </c>
      <c r="C174" s="5" t="s">
        <v>549</v>
      </c>
      <c r="D174" s="1" t="s">
        <v>12</v>
      </c>
      <c r="E174" s="41">
        <v>4.4000000000000004</v>
      </c>
      <c r="F174" s="1" t="s">
        <v>606</v>
      </c>
      <c r="G174" s="12">
        <v>73.699031506451234</v>
      </c>
      <c r="H174" s="1" t="s">
        <v>12</v>
      </c>
      <c r="I174" s="1" t="s">
        <v>164</v>
      </c>
      <c r="J174" s="26">
        <v>48.33225582</v>
      </c>
      <c r="K174" s="26">
        <f t="shared" si="18"/>
        <v>48.332259069999999</v>
      </c>
      <c r="L174" s="1">
        <v>5.6725779999999996E-2</v>
      </c>
      <c r="M174" s="1">
        <v>2.9389086099999999</v>
      </c>
      <c r="N174" s="26">
        <v>41.026872779999998</v>
      </c>
      <c r="O174" s="26">
        <v>4.3097518999999993</v>
      </c>
      <c r="P174" s="26">
        <v>0</v>
      </c>
      <c r="Q174" s="26">
        <v>0</v>
      </c>
      <c r="R174" s="26">
        <v>0</v>
      </c>
      <c r="S174" s="1">
        <v>0</v>
      </c>
      <c r="T174" s="1">
        <v>0</v>
      </c>
      <c r="U174" s="1">
        <v>0</v>
      </c>
      <c r="V174" s="33" t="s">
        <v>479</v>
      </c>
      <c r="W174" s="1">
        <v>2022</v>
      </c>
      <c r="X174" s="40">
        <v>2024</v>
      </c>
      <c r="Y174" s="1">
        <v>10.08224892</v>
      </c>
      <c r="Z174" s="40">
        <v>2024</v>
      </c>
      <c r="AA174" s="1">
        <v>2024</v>
      </c>
      <c r="AB174" s="1">
        <v>43.429351390000001</v>
      </c>
      <c r="AC174" s="1">
        <v>2025</v>
      </c>
      <c r="AD174" s="1" t="s">
        <v>481</v>
      </c>
    </row>
    <row r="175" spans="1:30" ht="45" x14ac:dyDescent="0.2">
      <c r="A175" s="1" t="s">
        <v>16</v>
      </c>
      <c r="B175" s="1" t="s">
        <v>405</v>
      </c>
      <c r="C175" s="5" t="s">
        <v>550</v>
      </c>
      <c r="D175" s="1" t="s">
        <v>12</v>
      </c>
      <c r="E175" s="41">
        <v>8.1</v>
      </c>
      <c r="F175" s="1" t="s">
        <v>606</v>
      </c>
      <c r="G175" s="12">
        <v>589.1980420163834</v>
      </c>
      <c r="H175" s="1" t="s">
        <v>12</v>
      </c>
      <c r="I175" s="1" t="s">
        <v>164</v>
      </c>
      <c r="J175" s="26">
        <v>75.79483178000001</v>
      </c>
      <c r="K175" s="26">
        <f t="shared" si="18"/>
        <v>75.794831779999996</v>
      </c>
      <c r="L175" s="1">
        <v>6.4324519999999996E-2</v>
      </c>
      <c r="M175" s="1">
        <v>3.3324870099999999</v>
      </c>
      <c r="N175" s="26">
        <v>54.028165729999998</v>
      </c>
      <c r="O175" s="26">
        <v>18.369854520000001</v>
      </c>
      <c r="P175" s="26">
        <v>0</v>
      </c>
      <c r="Q175" s="26">
        <v>0</v>
      </c>
      <c r="R175" s="26">
        <v>0</v>
      </c>
      <c r="S175" s="1">
        <v>0</v>
      </c>
      <c r="T175" s="1">
        <v>0</v>
      </c>
      <c r="U175" s="1">
        <v>0</v>
      </c>
      <c r="V175" s="33" t="s">
        <v>479</v>
      </c>
      <c r="W175" s="1">
        <v>2022</v>
      </c>
      <c r="X175" s="40">
        <v>2024</v>
      </c>
      <c r="Y175" s="1">
        <v>11.43339673</v>
      </c>
      <c r="Z175" s="40">
        <v>2024</v>
      </c>
      <c r="AA175" s="1">
        <v>2024</v>
      </c>
      <c r="AB175" s="1">
        <v>85.707446199999993</v>
      </c>
      <c r="AC175" s="1">
        <v>2025</v>
      </c>
      <c r="AD175" s="1" t="s">
        <v>481</v>
      </c>
    </row>
    <row r="176" spans="1:30" ht="45" x14ac:dyDescent="0.2">
      <c r="A176" s="1" t="s">
        <v>16</v>
      </c>
      <c r="B176" s="1" t="s">
        <v>406</v>
      </c>
      <c r="C176" s="5" t="s">
        <v>551</v>
      </c>
      <c r="D176" s="1" t="s">
        <v>12</v>
      </c>
      <c r="E176" s="41">
        <v>5</v>
      </c>
      <c r="F176" s="1" t="s">
        <v>606</v>
      </c>
      <c r="G176" s="12">
        <v>147.22904139375066</v>
      </c>
      <c r="H176" s="1" t="s">
        <v>12</v>
      </c>
      <c r="I176" s="1" t="s">
        <v>164</v>
      </c>
      <c r="J176" s="26">
        <v>54.431832119999996</v>
      </c>
      <c r="K176" s="26">
        <f t="shared" si="18"/>
        <v>54.431832119999996</v>
      </c>
      <c r="L176" s="1">
        <v>3.9893289999999998E-2</v>
      </c>
      <c r="M176" s="1">
        <v>2.0670537100000002</v>
      </c>
      <c r="N176" s="26">
        <v>38.319921129999997</v>
      </c>
      <c r="O176" s="26">
        <v>14.00496399</v>
      </c>
      <c r="P176" s="26">
        <v>0</v>
      </c>
      <c r="Q176" s="26">
        <v>0</v>
      </c>
      <c r="R176" s="26">
        <v>0</v>
      </c>
      <c r="S176" s="1">
        <v>0</v>
      </c>
      <c r="T176" s="1">
        <v>0</v>
      </c>
      <c r="U176" s="1">
        <v>0</v>
      </c>
      <c r="V176" s="33" t="s">
        <v>479</v>
      </c>
      <c r="W176" s="1">
        <v>2022</v>
      </c>
      <c r="X176" s="40">
        <v>2024</v>
      </c>
      <c r="Y176" s="1">
        <v>7.0917530399999995</v>
      </c>
      <c r="Z176" s="40">
        <v>2024</v>
      </c>
      <c r="AA176" s="1">
        <v>2024</v>
      </c>
      <c r="AB176" s="1">
        <v>54.714327069999996</v>
      </c>
      <c r="AC176" s="1">
        <v>2025</v>
      </c>
      <c r="AD176" s="1" t="s">
        <v>481</v>
      </c>
    </row>
    <row r="177" spans="1:30" ht="45" x14ac:dyDescent="0.2">
      <c r="A177" s="1" t="s">
        <v>16</v>
      </c>
      <c r="B177" s="1" t="s">
        <v>407</v>
      </c>
      <c r="C177" s="5" t="s">
        <v>552</v>
      </c>
      <c r="D177" s="1" t="s">
        <v>12</v>
      </c>
      <c r="E177" s="41">
        <v>11.7</v>
      </c>
      <c r="F177" s="1" t="s">
        <v>606</v>
      </c>
      <c r="G177" s="12">
        <v>1272.9540744572555</v>
      </c>
      <c r="H177" s="1" t="s">
        <v>12</v>
      </c>
      <c r="I177" s="1" t="s">
        <v>164</v>
      </c>
      <c r="J177" s="26">
        <v>108.22503675000002</v>
      </c>
      <c r="K177" s="26">
        <f t="shared" si="18"/>
        <v>108.22503674999999</v>
      </c>
      <c r="L177" s="1">
        <v>0.12120367</v>
      </c>
      <c r="M177" s="1">
        <v>6.2804248200000004</v>
      </c>
      <c r="N177" s="26">
        <v>92.727434699999989</v>
      </c>
      <c r="O177" s="26">
        <v>9.0959735600000009</v>
      </c>
      <c r="P177" s="26">
        <v>0</v>
      </c>
      <c r="Q177" s="26">
        <v>0</v>
      </c>
      <c r="R177" s="26">
        <v>0</v>
      </c>
      <c r="S177" s="1">
        <v>0</v>
      </c>
      <c r="T177" s="1">
        <v>0</v>
      </c>
      <c r="U177" s="1">
        <v>0</v>
      </c>
      <c r="V177" s="33" t="s">
        <v>479</v>
      </c>
      <c r="W177" s="1">
        <v>2022</v>
      </c>
      <c r="X177" s="40">
        <v>2024</v>
      </c>
      <c r="Y177" s="1">
        <v>21.547272169999999</v>
      </c>
      <c r="Z177" s="40">
        <v>2024</v>
      </c>
      <c r="AA177" s="1">
        <v>2024</v>
      </c>
      <c r="AB177" s="1">
        <v>120.01327858000001</v>
      </c>
      <c r="AC177" s="1">
        <v>2025</v>
      </c>
      <c r="AD177" s="1" t="s">
        <v>481</v>
      </c>
    </row>
    <row r="178" spans="1:30" ht="45" x14ac:dyDescent="0.2">
      <c r="A178" s="1" t="s">
        <v>16</v>
      </c>
      <c r="B178" s="1" t="s">
        <v>408</v>
      </c>
      <c r="C178" s="5" t="s">
        <v>553</v>
      </c>
      <c r="D178" s="1" t="s">
        <v>12</v>
      </c>
      <c r="E178" s="41">
        <v>2.1</v>
      </c>
      <c r="F178" s="1" t="s">
        <v>606</v>
      </c>
      <c r="G178" s="12">
        <v>153.91489291298322</v>
      </c>
      <c r="H178" s="1" t="s">
        <v>12</v>
      </c>
      <c r="I178" s="1" t="s">
        <v>164</v>
      </c>
      <c r="J178" s="26">
        <v>29.675706039999998</v>
      </c>
      <c r="K178" s="26">
        <f t="shared" si="18"/>
        <v>29.675706040000001</v>
      </c>
      <c r="L178" s="1">
        <v>4.4484570000000001E-2</v>
      </c>
      <c r="M178" s="1">
        <v>2.3058596499999999</v>
      </c>
      <c r="N178" s="26">
        <v>5.5666409299999993</v>
      </c>
      <c r="O178" s="26">
        <v>19.963651420000001</v>
      </c>
      <c r="P178" s="26">
        <v>1.7950694699999998</v>
      </c>
      <c r="Q178" s="26">
        <v>0</v>
      </c>
      <c r="R178" s="26">
        <v>0</v>
      </c>
      <c r="S178" s="1">
        <v>0</v>
      </c>
      <c r="T178" s="1">
        <v>0</v>
      </c>
      <c r="U178" s="1">
        <v>0</v>
      </c>
      <c r="V178" s="33" t="s">
        <v>479</v>
      </c>
      <c r="W178" s="1">
        <v>2022</v>
      </c>
      <c r="X178" s="40">
        <v>2025</v>
      </c>
      <c r="Y178" s="1">
        <v>7.9139169200000001</v>
      </c>
      <c r="Z178" s="40">
        <v>2025</v>
      </c>
      <c r="AA178" s="40">
        <v>2026</v>
      </c>
      <c r="AB178" s="1">
        <v>21.709703810000001</v>
      </c>
      <c r="AC178" s="40">
        <v>2027</v>
      </c>
      <c r="AD178" s="1" t="s">
        <v>481</v>
      </c>
    </row>
    <row r="179" spans="1:30" ht="56.25" x14ac:dyDescent="0.2">
      <c r="A179" s="1" t="s">
        <v>16</v>
      </c>
      <c r="B179" s="1" t="s">
        <v>409</v>
      </c>
      <c r="C179" s="5" t="s">
        <v>554</v>
      </c>
      <c r="D179" s="1" t="s">
        <v>12</v>
      </c>
      <c r="E179" s="11">
        <v>4</v>
      </c>
      <c r="F179" s="1" t="s">
        <v>606</v>
      </c>
      <c r="G179" s="12">
        <v>167.11165533703922</v>
      </c>
      <c r="H179" s="1" t="s">
        <v>12</v>
      </c>
      <c r="I179" s="1" t="s">
        <v>164</v>
      </c>
      <c r="J179" s="26">
        <v>63.48</v>
      </c>
      <c r="K179" s="26">
        <f t="shared" si="18"/>
        <v>63.480000000000004</v>
      </c>
      <c r="L179" s="1">
        <v>0</v>
      </c>
      <c r="M179" s="1">
        <v>0</v>
      </c>
      <c r="N179" s="26">
        <v>4.5421000000000003E-3</v>
      </c>
      <c r="O179" s="26">
        <v>5.1425872999999998</v>
      </c>
      <c r="P179" s="26">
        <v>0.33334249999999999</v>
      </c>
      <c r="Q179" s="26">
        <v>57.999528100000006</v>
      </c>
      <c r="R179" s="26">
        <v>0</v>
      </c>
      <c r="S179" s="1">
        <v>0</v>
      </c>
      <c r="T179" s="1">
        <v>0</v>
      </c>
      <c r="U179" s="1">
        <v>0</v>
      </c>
      <c r="V179" s="33" t="s">
        <v>479</v>
      </c>
      <c r="W179" s="1">
        <v>2024</v>
      </c>
      <c r="X179" s="40">
        <v>2026</v>
      </c>
      <c r="Y179" s="1">
        <v>5.1509144799999991</v>
      </c>
      <c r="Z179" s="1">
        <v>2026</v>
      </c>
      <c r="AA179" s="1">
        <v>2027</v>
      </c>
      <c r="AB179" s="1">
        <v>58.330843740000006</v>
      </c>
      <c r="AC179" s="1">
        <v>2028</v>
      </c>
      <c r="AD179" s="1" t="s">
        <v>481</v>
      </c>
    </row>
    <row r="180" spans="1:30" ht="56.25" x14ac:dyDescent="0.2">
      <c r="A180" s="1" t="s">
        <v>16</v>
      </c>
      <c r="B180" s="1" t="s">
        <v>410</v>
      </c>
      <c r="C180" s="5" t="s">
        <v>555</v>
      </c>
      <c r="D180" s="1" t="s">
        <v>12</v>
      </c>
      <c r="E180" s="11">
        <v>2.2999999999999998</v>
      </c>
      <c r="F180" s="1" t="s">
        <v>606</v>
      </c>
      <c r="G180" s="12">
        <v>98.785035247729851</v>
      </c>
      <c r="H180" s="1" t="s">
        <v>12</v>
      </c>
      <c r="I180" s="1" t="s">
        <v>164</v>
      </c>
      <c r="J180" s="26">
        <v>36.500999999999998</v>
      </c>
      <c r="K180" s="26">
        <f t="shared" si="18"/>
        <v>36.500999990000004</v>
      </c>
      <c r="L180" s="1">
        <v>0</v>
      </c>
      <c r="M180" s="1">
        <v>0</v>
      </c>
      <c r="N180" s="26">
        <v>2.5976900000000002E-3</v>
      </c>
      <c r="O180" s="26">
        <v>2.9499980800000003</v>
      </c>
      <c r="P180" s="26">
        <v>0.1912267</v>
      </c>
      <c r="Q180" s="26">
        <v>33.35717752</v>
      </c>
      <c r="R180" s="26">
        <v>0</v>
      </c>
      <c r="S180" s="1">
        <v>0</v>
      </c>
      <c r="T180" s="1">
        <v>0</v>
      </c>
      <c r="U180" s="1">
        <v>0</v>
      </c>
      <c r="V180" s="33" t="s">
        <v>479</v>
      </c>
      <c r="W180" s="1">
        <v>2024</v>
      </c>
      <c r="X180" s="40">
        <v>2026</v>
      </c>
      <c r="Y180" s="1">
        <v>2.9547605100000003</v>
      </c>
      <c r="Z180" s="1">
        <v>2026</v>
      </c>
      <c r="AA180" s="1">
        <v>2027</v>
      </c>
      <c r="AB180" s="1">
        <v>33.547923600000004</v>
      </c>
      <c r="AC180" s="1">
        <v>2028</v>
      </c>
      <c r="AD180" s="1" t="s">
        <v>481</v>
      </c>
    </row>
    <row r="181" spans="1:30" ht="56.25" x14ac:dyDescent="0.2">
      <c r="A181" s="1" t="s">
        <v>16</v>
      </c>
      <c r="B181" s="1" t="s">
        <v>411</v>
      </c>
      <c r="C181" s="5" t="s">
        <v>556</v>
      </c>
      <c r="D181" s="1" t="s">
        <v>12</v>
      </c>
      <c r="E181" s="11">
        <v>3.1</v>
      </c>
      <c r="F181" s="1" t="s">
        <v>606</v>
      </c>
      <c r="G181" s="12">
        <v>142.2009032535166</v>
      </c>
      <c r="H181" s="1" t="s">
        <v>12</v>
      </c>
      <c r="I181" s="1" t="s">
        <v>164</v>
      </c>
      <c r="J181" s="26">
        <v>49.197000000000003</v>
      </c>
      <c r="K181" s="26">
        <f t="shared" si="18"/>
        <v>49.197000000000003</v>
      </c>
      <c r="L181" s="1">
        <v>0</v>
      </c>
      <c r="M181" s="1">
        <v>0</v>
      </c>
      <c r="N181" s="26">
        <v>3.5312199999999998E-3</v>
      </c>
      <c r="O181" s="26">
        <v>4.0063624200000003</v>
      </c>
      <c r="P181" s="26">
        <v>0.25969972999999996</v>
      </c>
      <c r="Q181" s="26">
        <v>44.92740663</v>
      </c>
      <c r="R181" s="26">
        <v>0</v>
      </c>
      <c r="S181" s="1">
        <v>0</v>
      </c>
      <c r="T181" s="1">
        <v>0</v>
      </c>
      <c r="U181" s="1">
        <v>0</v>
      </c>
      <c r="V181" s="33" t="s">
        <v>479</v>
      </c>
      <c r="W181" s="1">
        <v>2024</v>
      </c>
      <c r="X181" s="40">
        <v>2026</v>
      </c>
      <c r="Y181" s="1">
        <v>4.012836319999999</v>
      </c>
      <c r="Z181" s="1">
        <v>2026</v>
      </c>
      <c r="AA181" s="1">
        <v>2027</v>
      </c>
      <c r="AB181" s="1">
        <v>45.185815870000006</v>
      </c>
      <c r="AC181" s="1">
        <v>2028</v>
      </c>
      <c r="AD181" s="1" t="s">
        <v>481</v>
      </c>
    </row>
    <row r="182" spans="1:30" ht="56.25" x14ac:dyDescent="0.2">
      <c r="A182" s="1" t="s">
        <v>16</v>
      </c>
      <c r="B182" s="1" t="s">
        <v>412</v>
      </c>
      <c r="C182" s="5" t="s">
        <v>557</v>
      </c>
      <c r="D182" s="1" t="s">
        <v>12</v>
      </c>
      <c r="E182" s="11">
        <v>2.2999999999999998</v>
      </c>
      <c r="F182" s="1" t="s">
        <v>606</v>
      </c>
      <c r="G182" s="12">
        <v>61.826901675559661</v>
      </c>
      <c r="H182" s="1" t="s">
        <v>12</v>
      </c>
      <c r="I182" s="1" t="s">
        <v>164</v>
      </c>
      <c r="J182" s="26">
        <v>36.502736290000001</v>
      </c>
      <c r="K182" s="26">
        <f t="shared" si="18"/>
        <v>36.502736290000001</v>
      </c>
      <c r="L182" s="1">
        <v>0</v>
      </c>
      <c r="M182" s="1">
        <v>0</v>
      </c>
      <c r="N182" s="26">
        <v>2.6065100000000003E-3</v>
      </c>
      <c r="O182" s="26">
        <v>4.59312231</v>
      </c>
      <c r="P182" s="26">
        <v>0.89912872999999993</v>
      </c>
      <c r="Q182" s="26">
        <v>31.007878739999999</v>
      </c>
      <c r="R182" s="26">
        <v>0</v>
      </c>
      <c r="S182" s="1">
        <v>0</v>
      </c>
      <c r="T182" s="1">
        <v>0</v>
      </c>
      <c r="U182" s="1">
        <v>0</v>
      </c>
      <c r="V182" s="33" t="s">
        <v>479</v>
      </c>
      <c r="W182" s="1">
        <v>2024</v>
      </c>
      <c r="X182" s="40">
        <v>2026</v>
      </c>
      <c r="Y182" s="1">
        <v>3.6983377700000002</v>
      </c>
      <c r="Z182" s="1">
        <v>2026</v>
      </c>
      <c r="AA182" s="1">
        <v>2027</v>
      </c>
      <c r="AB182" s="1">
        <v>32.804400350000002</v>
      </c>
      <c r="AC182" s="1">
        <v>2028</v>
      </c>
      <c r="AD182" s="1" t="s">
        <v>481</v>
      </c>
    </row>
    <row r="183" spans="1:30" ht="45" x14ac:dyDescent="0.2">
      <c r="A183" s="1" t="s">
        <v>16</v>
      </c>
      <c r="B183" s="1" t="s">
        <v>413</v>
      </c>
      <c r="C183" s="5" t="s">
        <v>558</v>
      </c>
      <c r="D183" s="1" t="s">
        <v>12</v>
      </c>
      <c r="E183" s="11">
        <v>34.046500000000002</v>
      </c>
      <c r="F183" s="1" t="s">
        <v>606</v>
      </c>
      <c r="G183" s="12">
        <v>7452.0846254094704</v>
      </c>
      <c r="H183" s="1" t="s">
        <v>12</v>
      </c>
      <c r="I183" s="1" t="s">
        <v>164</v>
      </c>
      <c r="J183" s="26">
        <f>L183+M183+N183+O183</f>
        <v>481.94367735999998</v>
      </c>
      <c r="K183" s="26">
        <f t="shared" ref="K183:K233" si="19">L183+M183+N183+O183+P183+Q183+R183</f>
        <v>481.94367735999998</v>
      </c>
      <c r="L183" s="1">
        <v>0</v>
      </c>
      <c r="M183" s="1">
        <v>58.9220623</v>
      </c>
      <c r="N183" s="26">
        <v>423.02161505999999</v>
      </c>
      <c r="O183" s="26">
        <v>0</v>
      </c>
      <c r="P183" s="26">
        <v>0</v>
      </c>
      <c r="Q183" s="26">
        <v>0</v>
      </c>
      <c r="R183" s="26">
        <v>0</v>
      </c>
      <c r="S183" s="1">
        <v>0</v>
      </c>
      <c r="T183" s="1">
        <v>0</v>
      </c>
      <c r="U183" s="1">
        <v>0</v>
      </c>
      <c r="V183" s="33" t="s">
        <v>479</v>
      </c>
      <c r="W183" s="1">
        <v>2022</v>
      </c>
      <c r="X183" s="1">
        <v>2023</v>
      </c>
      <c r="Y183" s="1">
        <v>1.29148748</v>
      </c>
      <c r="Z183" s="1">
        <v>2023</v>
      </c>
      <c r="AA183" s="1">
        <v>2024</v>
      </c>
      <c r="AB183" s="1">
        <v>653.02053724000007</v>
      </c>
      <c r="AC183" s="1">
        <v>2025</v>
      </c>
      <c r="AD183" s="1" t="s">
        <v>481</v>
      </c>
    </row>
    <row r="184" spans="1:30" ht="45" x14ac:dyDescent="0.2">
      <c r="A184" s="1" t="s">
        <v>16</v>
      </c>
      <c r="B184" s="1" t="s">
        <v>414</v>
      </c>
      <c r="C184" s="5" t="s">
        <v>558</v>
      </c>
      <c r="D184" s="1" t="s">
        <v>12</v>
      </c>
      <c r="E184" s="11">
        <v>20.171975</v>
      </c>
      <c r="F184" s="1" t="s">
        <v>606</v>
      </c>
      <c r="G184" s="12" t="s">
        <v>606</v>
      </c>
      <c r="H184" s="1" t="s">
        <v>12</v>
      </c>
      <c r="I184" s="1" t="s">
        <v>164</v>
      </c>
      <c r="J184" s="26">
        <f t="shared" ref="J184:J186" si="20">L184+M184+N184+O184</f>
        <v>248.28809546000005</v>
      </c>
      <c r="K184" s="26">
        <f t="shared" si="19"/>
        <v>248.28809546000005</v>
      </c>
      <c r="L184" s="1">
        <v>0</v>
      </c>
      <c r="M184" s="1">
        <v>0.75451637000000005</v>
      </c>
      <c r="N184" s="26">
        <v>247.01202799000004</v>
      </c>
      <c r="O184" s="26">
        <f>521.5511/1000</f>
        <v>0.52155110000000005</v>
      </c>
      <c r="P184" s="26">
        <v>0</v>
      </c>
      <c r="Q184" s="26">
        <v>0</v>
      </c>
      <c r="R184" s="26">
        <v>0</v>
      </c>
      <c r="S184" s="1">
        <v>0</v>
      </c>
      <c r="T184" s="1">
        <v>0</v>
      </c>
      <c r="U184" s="1">
        <v>0</v>
      </c>
      <c r="V184" s="33" t="s">
        <v>479</v>
      </c>
      <c r="W184" s="1">
        <v>2022</v>
      </c>
      <c r="X184" s="1">
        <v>2023</v>
      </c>
      <c r="Y184" s="1">
        <v>0.75451637000000005</v>
      </c>
      <c r="Z184" s="1">
        <v>2023</v>
      </c>
      <c r="AA184" s="1">
        <v>2024</v>
      </c>
      <c r="AB184" s="1">
        <v>338.79554776999998</v>
      </c>
      <c r="AC184" s="1">
        <v>2025</v>
      </c>
      <c r="AD184" s="1" t="s">
        <v>481</v>
      </c>
    </row>
    <row r="185" spans="1:30" ht="45" x14ac:dyDescent="0.2">
      <c r="A185" s="1" t="s">
        <v>16</v>
      </c>
      <c r="B185" s="1" t="s">
        <v>415</v>
      </c>
      <c r="C185" s="5" t="s">
        <v>558</v>
      </c>
      <c r="D185" s="1" t="s">
        <v>12</v>
      </c>
      <c r="E185" s="11">
        <v>43.659500000000001</v>
      </c>
      <c r="F185" s="1" t="s">
        <v>606</v>
      </c>
      <c r="G185" s="12" t="s">
        <v>606</v>
      </c>
      <c r="H185" s="1" t="s">
        <v>12</v>
      </c>
      <c r="I185" s="1" t="s">
        <v>164</v>
      </c>
      <c r="J185" s="26">
        <f t="shared" si="20"/>
        <v>678.83083895999994</v>
      </c>
      <c r="K185" s="26">
        <f t="shared" si="19"/>
        <v>678.83083895999994</v>
      </c>
      <c r="L185" s="1">
        <v>0</v>
      </c>
      <c r="M185" s="1">
        <v>1.5253102299999999</v>
      </c>
      <c r="N185" s="26">
        <v>635.15013335000003</v>
      </c>
      <c r="O185" s="26">
        <f>42155.39538/1000</f>
        <v>42.155395380000002</v>
      </c>
      <c r="P185" s="26">
        <v>0</v>
      </c>
      <c r="Q185" s="26">
        <v>0</v>
      </c>
      <c r="R185" s="26">
        <v>0</v>
      </c>
      <c r="S185" s="1">
        <v>0</v>
      </c>
      <c r="T185" s="1">
        <v>0</v>
      </c>
      <c r="U185" s="1">
        <v>0</v>
      </c>
      <c r="V185" s="33" t="s">
        <v>479</v>
      </c>
      <c r="W185" s="1">
        <v>2022</v>
      </c>
      <c r="X185" s="1">
        <v>2023</v>
      </c>
      <c r="Y185" s="1">
        <v>1.4029202299999997</v>
      </c>
      <c r="Z185" s="1">
        <v>2023</v>
      </c>
      <c r="AA185" s="1">
        <v>2024</v>
      </c>
      <c r="AB185" s="1">
        <v>744.00218351000001</v>
      </c>
      <c r="AC185" s="1">
        <v>2025</v>
      </c>
      <c r="AD185" s="1" t="s">
        <v>481</v>
      </c>
    </row>
    <row r="186" spans="1:30" ht="45" x14ac:dyDescent="0.2">
      <c r="A186" s="1" t="s">
        <v>16</v>
      </c>
      <c r="B186" s="1" t="s">
        <v>416</v>
      </c>
      <c r="C186" s="5" t="s">
        <v>558</v>
      </c>
      <c r="D186" s="1" t="s">
        <v>12</v>
      </c>
      <c r="E186" s="11">
        <v>32.46696</v>
      </c>
      <c r="F186" s="1" t="s">
        <v>606</v>
      </c>
      <c r="G186" s="12" t="s">
        <v>606</v>
      </c>
      <c r="H186" s="1" t="s">
        <v>12</v>
      </c>
      <c r="I186" s="1" t="s">
        <v>164</v>
      </c>
      <c r="J186" s="26">
        <f t="shared" si="20"/>
        <v>508.39435957999996</v>
      </c>
      <c r="K186" s="26">
        <f t="shared" si="19"/>
        <v>508.39435957999996</v>
      </c>
      <c r="L186" s="1">
        <v>0</v>
      </c>
      <c r="M186" s="1">
        <v>1.0368686499999999</v>
      </c>
      <c r="N186" s="26">
        <v>450.42765202999999</v>
      </c>
      <c r="O186" s="26">
        <v>56.9298389</v>
      </c>
      <c r="P186" s="26">
        <v>0</v>
      </c>
      <c r="Q186" s="26">
        <v>0</v>
      </c>
      <c r="R186" s="26">
        <v>0</v>
      </c>
      <c r="S186" s="1">
        <v>0</v>
      </c>
      <c r="T186" s="1">
        <v>0</v>
      </c>
      <c r="U186" s="1">
        <v>0</v>
      </c>
      <c r="V186" s="33" t="s">
        <v>479</v>
      </c>
      <c r="W186" s="1">
        <v>2022</v>
      </c>
      <c r="X186" s="1">
        <v>2023</v>
      </c>
      <c r="Y186" s="1">
        <v>1.0368686499999999</v>
      </c>
      <c r="Z186" s="1">
        <v>2023</v>
      </c>
      <c r="AA186" s="1">
        <v>2024</v>
      </c>
      <c r="AB186" s="1">
        <v>636.60506827999995</v>
      </c>
      <c r="AC186" s="1">
        <v>2025</v>
      </c>
      <c r="AD186" s="1" t="s">
        <v>481</v>
      </c>
    </row>
    <row r="187" spans="1:30" ht="45" x14ac:dyDescent="0.2">
      <c r="A187" s="1" t="s">
        <v>16</v>
      </c>
      <c r="B187" s="1" t="s">
        <v>417</v>
      </c>
      <c r="C187" s="5" t="s">
        <v>559</v>
      </c>
      <c r="D187" s="1" t="s">
        <v>12</v>
      </c>
      <c r="E187" s="11">
        <v>2.84</v>
      </c>
      <c r="F187" s="1" t="s">
        <v>606</v>
      </c>
      <c r="G187" s="12">
        <v>107.71363781535045</v>
      </c>
      <c r="H187" s="1" t="s">
        <v>12</v>
      </c>
      <c r="I187" s="1" t="s">
        <v>164</v>
      </c>
      <c r="J187" s="26">
        <v>23.150417159999996</v>
      </c>
      <c r="K187" s="26">
        <f t="shared" si="19"/>
        <v>23.150417159999996</v>
      </c>
      <c r="L187" s="1">
        <v>0</v>
      </c>
      <c r="M187" s="1">
        <v>13.080910509999999</v>
      </c>
      <c r="N187" s="26">
        <v>10.003506649999999</v>
      </c>
      <c r="O187" s="26">
        <v>6.6000000000000003E-2</v>
      </c>
      <c r="P187" s="26">
        <v>0</v>
      </c>
      <c r="Q187" s="26">
        <v>0</v>
      </c>
      <c r="R187" s="26">
        <v>0</v>
      </c>
      <c r="S187" s="1">
        <v>0</v>
      </c>
      <c r="T187" s="1">
        <v>0</v>
      </c>
      <c r="U187" s="1">
        <v>0</v>
      </c>
      <c r="V187" s="33" t="s">
        <v>479</v>
      </c>
      <c r="W187" s="1">
        <v>2022</v>
      </c>
      <c r="X187" s="1">
        <v>2023</v>
      </c>
      <c r="Y187" s="1">
        <v>0.34037679000000004</v>
      </c>
      <c r="Z187" s="1">
        <v>2023</v>
      </c>
      <c r="AA187" s="1">
        <v>2024</v>
      </c>
      <c r="AB187" s="1">
        <v>29.893758159999997</v>
      </c>
      <c r="AC187" s="1">
        <v>2025</v>
      </c>
      <c r="AD187" s="1" t="s">
        <v>481</v>
      </c>
    </row>
    <row r="188" spans="1:30" ht="45" x14ac:dyDescent="0.2">
      <c r="A188" s="1" t="s">
        <v>16</v>
      </c>
      <c r="B188" s="1" t="s">
        <v>418</v>
      </c>
      <c r="C188" s="5" t="s">
        <v>560</v>
      </c>
      <c r="D188" s="1" t="s">
        <v>12</v>
      </c>
      <c r="E188" s="41">
        <v>8.6999999999999993</v>
      </c>
      <c r="F188" s="1" t="s">
        <v>606</v>
      </c>
      <c r="G188" s="12">
        <v>600.11559994640663</v>
      </c>
      <c r="H188" s="1" t="s">
        <v>12</v>
      </c>
      <c r="I188" s="1" t="s">
        <v>164</v>
      </c>
      <c r="J188" s="26">
        <v>116.49611294999998</v>
      </c>
      <c r="K188" s="26">
        <f t="shared" si="19"/>
        <v>116.49611295</v>
      </c>
      <c r="L188" s="1">
        <v>0</v>
      </c>
      <c r="M188" s="1">
        <v>92.473418809999998</v>
      </c>
      <c r="N188" s="26">
        <v>24.022694140000002</v>
      </c>
      <c r="O188" s="26">
        <v>0</v>
      </c>
      <c r="P188" s="26">
        <v>0</v>
      </c>
      <c r="Q188" s="26">
        <v>0</v>
      </c>
      <c r="R188" s="26">
        <v>0</v>
      </c>
      <c r="S188" s="1">
        <v>0</v>
      </c>
      <c r="T188" s="1">
        <v>0</v>
      </c>
      <c r="U188" s="1">
        <v>0</v>
      </c>
      <c r="V188" s="33" t="s">
        <v>479</v>
      </c>
      <c r="W188" s="1">
        <v>2022</v>
      </c>
      <c r="X188" s="1">
        <v>2023</v>
      </c>
      <c r="Y188" s="1">
        <v>0.32549797000000003</v>
      </c>
      <c r="Z188" s="1">
        <v>2023</v>
      </c>
      <c r="AA188" s="1">
        <v>2023</v>
      </c>
      <c r="AB188" s="1">
        <v>122.67927451000001</v>
      </c>
      <c r="AC188" s="1">
        <v>2024</v>
      </c>
      <c r="AD188" s="1" t="s">
        <v>481</v>
      </c>
    </row>
    <row r="189" spans="1:30" ht="45" x14ac:dyDescent="0.2">
      <c r="A189" s="1" t="s">
        <v>16</v>
      </c>
      <c r="B189" s="1" t="s">
        <v>419</v>
      </c>
      <c r="C189" s="5" t="s">
        <v>561</v>
      </c>
      <c r="D189" s="1" t="s">
        <v>12</v>
      </c>
      <c r="E189" s="11">
        <v>3.17</v>
      </c>
      <c r="F189" s="1" t="s">
        <v>606</v>
      </c>
      <c r="G189" s="12">
        <v>313.04252189522782</v>
      </c>
      <c r="H189" s="1" t="s">
        <v>12</v>
      </c>
      <c r="I189" s="1" t="s">
        <v>164</v>
      </c>
      <c r="J189" s="26">
        <v>33.618638390000001</v>
      </c>
      <c r="K189" s="26">
        <f t="shared" si="19"/>
        <v>33.618638390000001</v>
      </c>
      <c r="L189" s="1">
        <v>0</v>
      </c>
      <c r="M189" s="1">
        <v>18.760305329999998</v>
      </c>
      <c r="N189" s="26">
        <v>14.85833306</v>
      </c>
      <c r="O189" s="26">
        <v>0</v>
      </c>
      <c r="P189" s="26">
        <v>0</v>
      </c>
      <c r="Q189" s="26">
        <v>0</v>
      </c>
      <c r="R189" s="26">
        <v>0</v>
      </c>
      <c r="S189" s="1">
        <v>0</v>
      </c>
      <c r="T189" s="1">
        <v>0</v>
      </c>
      <c r="U189" s="1">
        <v>0</v>
      </c>
      <c r="V189" s="33" t="s">
        <v>479</v>
      </c>
      <c r="W189" s="1">
        <v>2022</v>
      </c>
      <c r="X189" s="1">
        <v>2023</v>
      </c>
      <c r="Y189" s="1">
        <v>0.5367561500000001</v>
      </c>
      <c r="Z189" s="1">
        <v>2023</v>
      </c>
      <c r="AA189" s="1">
        <v>2023</v>
      </c>
      <c r="AB189" s="1">
        <v>35.042524249999992</v>
      </c>
      <c r="AC189" s="1">
        <v>2024</v>
      </c>
      <c r="AD189" s="1" t="s">
        <v>481</v>
      </c>
    </row>
    <row r="190" spans="1:30" ht="45" x14ac:dyDescent="0.2">
      <c r="A190" s="1" t="s">
        <v>16</v>
      </c>
      <c r="B190" s="1" t="s">
        <v>420</v>
      </c>
      <c r="C190" s="5" t="s">
        <v>562</v>
      </c>
      <c r="D190" s="1" t="s">
        <v>12</v>
      </c>
      <c r="E190" s="11">
        <v>8.3000000000000007</v>
      </c>
      <c r="F190" s="1" t="s">
        <v>606</v>
      </c>
      <c r="G190" s="12">
        <v>227.21753937859813</v>
      </c>
      <c r="H190" s="1" t="s">
        <v>12</v>
      </c>
      <c r="I190" s="1" t="s">
        <v>164</v>
      </c>
      <c r="J190" s="26">
        <v>78.465762529999992</v>
      </c>
      <c r="K190" s="26">
        <f t="shared" si="19"/>
        <v>78.465762530000006</v>
      </c>
      <c r="L190" s="1">
        <v>7.2500499999999996E-2</v>
      </c>
      <c r="M190" s="1">
        <v>3.7564538299999999</v>
      </c>
      <c r="N190" s="26">
        <v>9.0711295199999995</v>
      </c>
      <c r="O190" s="26">
        <v>49.314105000000005</v>
      </c>
      <c r="P190" s="26">
        <v>16.25157368</v>
      </c>
      <c r="Q190" s="26">
        <v>0</v>
      </c>
      <c r="R190" s="26">
        <v>0</v>
      </c>
      <c r="S190" s="1">
        <v>0</v>
      </c>
      <c r="T190" s="1">
        <v>0</v>
      </c>
      <c r="U190" s="1">
        <v>0</v>
      </c>
      <c r="V190" s="33" t="s">
        <v>479</v>
      </c>
      <c r="W190" s="1">
        <v>2022</v>
      </c>
      <c r="X190" s="40">
        <v>2024</v>
      </c>
      <c r="Y190" s="1">
        <v>12.894585270000002</v>
      </c>
      <c r="Z190" s="40">
        <v>2024</v>
      </c>
      <c r="AA190" s="1">
        <v>2025</v>
      </c>
      <c r="AB190" s="1">
        <v>101.09990534000001</v>
      </c>
      <c r="AC190" s="1">
        <v>2026</v>
      </c>
      <c r="AD190" s="1" t="s">
        <v>481</v>
      </c>
    </row>
    <row r="191" spans="1:30" ht="45" x14ac:dyDescent="0.2">
      <c r="A191" s="1" t="s">
        <v>16</v>
      </c>
      <c r="B191" s="1" t="s">
        <v>421</v>
      </c>
      <c r="C191" s="5" t="s">
        <v>563</v>
      </c>
      <c r="D191" s="1" t="s">
        <v>12</v>
      </c>
      <c r="E191" s="11">
        <v>14</v>
      </c>
      <c r="F191" s="1" t="s">
        <v>606</v>
      </c>
      <c r="G191" s="12">
        <v>826.15976015138813</v>
      </c>
      <c r="H191" s="1" t="s">
        <v>12</v>
      </c>
      <c r="I191" s="1" t="s">
        <v>164</v>
      </c>
      <c r="J191" s="26">
        <v>239.88339325999999</v>
      </c>
      <c r="K191" s="26">
        <f t="shared" si="19"/>
        <v>239.88339325999999</v>
      </c>
      <c r="L191" s="1">
        <v>0.1137623</v>
      </c>
      <c r="M191" s="1">
        <v>5.8168804100000004</v>
      </c>
      <c r="N191" s="26">
        <v>14.237684559999998</v>
      </c>
      <c r="O191" s="26">
        <v>167.87462235000001</v>
      </c>
      <c r="P191" s="26">
        <v>51.840443639999997</v>
      </c>
      <c r="Q191" s="26">
        <v>0</v>
      </c>
      <c r="R191" s="26">
        <v>0</v>
      </c>
      <c r="S191" s="1">
        <v>0</v>
      </c>
      <c r="T191" s="1">
        <v>0</v>
      </c>
      <c r="U191" s="1">
        <v>0</v>
      </c>
      <c r="V191" s="33" t="s">
        <v>479</v>
      </c>
      <c r="W191" s="1">
        <v>2022</v>
      </c>
      <c r="X191" s="40">
        <v>2024</v>
      </c>
      <c r="Y191" s="1">
        <v>20.159968820000003</v>
      </c>
      <c r="Z191" s="40">
        <v>2024</v>
      </c>
      <c r="AA191" s="1">
        <v>2025</v>
      </c>
      <c r="AB191" s="1">
        <v>336.19012531333328</v>
      </c>
      <c r="AC191" s="1">
        <v>2026</v>
      </c>
      <c r="AD191" s="1" t="s">
        <v>481</v>
      </c>
    </row>
    <row r="192" spans="1:30" ht="45" x14ac:dyDescent="0.2">
      <c r="A192" s="1" t="s">
        <v>16</v>
      </c>
      <c r="B192" s="1" t="s">
        <v>422</v>
      </c>
      <c r="C192" s="5" t="s">
        <v>564</v>
      </c>
      <c r="D192" s="1" t="s">
        <v>12</v>
      </c>
      <c r="E192" s="41">
        <v>9.4</v>
      </c>
      <c r="F192" s="1" t="s">
        <v>606</v>
      </c>
      <c r="G192" s="12">
        <v>19.094681545234536</v>
      </c>
      <c r="H192" s="1" t="s">
        <v>12</v>
      </c>
      <c r="I192" s="1" t="s">
        <v>164</v>
      </c>
      <c r="J192" s="26">
        <v>93.042394260000009</v>
      </c>
      <c r="K192" s="26">
        <f t="shared" si="19"/>
        <v>93.042394259999995</v>
      </c>
      <c r="L192" s="1">
        <v>13.2703992</v>
      </c>
      <c r="M192" s="1">
        <v>79.68786996</v>
      </c>
      <c r="N192" s="26">
        <v>8.4125100000000008E-2</v>
      </c>
      <c r="O192" s="26">
        <v>0</v>
      </c>
      <c r="P192" s="26">
        <v>0</v>
      </c>
      <c r="Q192" s="26">
        <v>0</v>
      </c>
      <c r="R192" s="26">
        <v>0</v>
      </c>
      <c r="S192" s="1">
        <v>0</v>
      </c>
      <c r="T192" s="1">
        <v>0</v>
      </c>
      <c r="U192" s="1">
        <v>0</v>
      </c>
      <c r="V192" s="33" t="s">
        <v>479</v>
      </c>
      <c r="W192" s="1">
        <v>2022</v>
      </c>
      <c r="X192" s="1">
        <v>2023</v>
      </c>
      <c r="Y192" s="1">
        <v>16.642477679999999</v>
      </c>
      <c r="Z192" s="1">
        <v>2023</v>
      </c>
      <c r="AA192" s="1">
        <v>2023</v>
      </c>
      <c r="AB192" s="1">
        <v>90.318471900000006</v>
      </c>
      <c r="AC192" s="1">
        <v>2024</v>
      </c>
      <c r="AD192" s="1" t="s">
        <v>481</v>
      </c>
    </row>
    <row r="193" spans="1:30" ht="45" x14ac:dyDescent="0.2">
      <c r="A193" s="1" t="s">
        <v>16</v>
      </c>
      <c r="B193" s="1" t="s">
        <v>423</v>
      </c>
      <c r="C193" s="5" t="s">
        <v>565</v>
      </c>
      <c r="D193" s="1" t="s">
        <v>12</v>
      </c>
      <c r="E193" s="41">
        <v>1.7</v>
      </c>
      <c r="F193" s="1" t="s">
        <v>606</v>
      </c>
      <c r="G193" s="12">
        <v>54.757947500647404</v>
      </c>
      <c r="H193" s="1" t="s">
        <v>12</v>
      </c>
      <c r="I193" s="1" t="s">
        <v>164</v>
      </c>
      <c r="J193" s="26">
        <v>20.867146009999999</v>
      </c>
      <c r="K193" s="26">
        <f t="shared" si="19"/>
        <v>20.867146010000003</v>
      </c>
      <c r="L193" s="1">
        <v>1.5828166499999998</v>
      </c>
      <c r="M193" s="1">
        <v>18.73320593</v>
      </c>
      <c r="N193" s="26">
        <v>0.55112343000000008</v>
      </c>
      <c r="O193" s="26">
        <v>0</v>
      </c>
      <c r="P193" s="26">
        <v>0</v>
      </c>
      <c r="Q193" s="26">
        <v>0</v>
      </c>
      <c r="R193" s="26">
        <v>0</v>
      </c>
      <c r="S193" s="1">
        <v>0</v>
      </c>
      <c r="T193" s="1">
        <v>0</v>
      </c>
      <c r="U193" s="1">
        <v>0</v>
      </c>
      <c r="V193" s="33" t="s">
        <v>479</v>
      </c>
      <c r="W193" s="1">
        <v>2022</v>
      </c>
      <c r="X193" s="1">
        <v>2023</v>
      </c>
      <c r="Y193" s="1">
        <v>3.3822550499999999</v>
      </c>
      <c r="Z193" s="1">
        <v>2023</v>
      </c>
      <c r="AA193" s="1">
        <v>2023</v>
      </c>
      <c r="AB193" s="1">
        <v>19.703548860000001</v>
      </c>
      <c r="AC193" s="1">
        <v>2024</v>
      </c>
      <c r="AD193" s="1" t="s">
        <v>481</v>
      </c>
    </row>
    <row r="194" spans="1:30" ht="45" x14ac:dyDescent="0.2">
      <c r="A194" s="1" t="s">
        <v>16</v>
      </c>
      <c r="B194" s="1" t="s">
        <v>424</v>
      </c>
      <c r="C194" s="5" t="s">
        <v>566</v>
      </c>
      <c r="D194" s="1" t="s">
        <v>12</v>
      </c>
      <c r="E194" s="11">
        <v>0.5</v>
      </c>
      <c r="F194" s="1" t="s">
        <v>606</v>
      </c>
      <c r="G194" s="12">
        <v>0</v>
      </c>
      <c r="H194" s="1" t="s">
        <v>12</v>
      </c>
      <c r="I194" s="1" t="s">
        <v>164</v>
      </c>
      <c r="J194" s="26">
        <v>4.2087074600000003</v>
      </c>
      <c r="K194" s="26">
        <f t="shared" si="19"/>
        <v>4.2087074600000003</v>
      </c>
      <c r="L194" s="1">
        <v>1.2316542699999999</v>
      </c>
      <c r="M194" s="1">
        <v>2.5727128700000002</v>
      </c>
      <c r="N194" s="26">
        <v>0.40434032000000003</v>
      </c>
      <c r="O194" s="26">
        <v>0</v>
      </c>
      <c r="P194" s="26">
        <v>0</v>
      </c>
      <c r="Q194" s="26">
        <v>0</v>
      </c>
      <c r="R194" s="26">
        <v>0</v>
      </c>
      <c r="S194" s="1">
        <v>0</v>
      </c>
      <c r="T194" s="1">
        <v>0</v>
      </c>
      <c r="U194" s="1">
        <v>0</v>
      </c>
      <c r="V194" s="33" t="s">
        <v>479</v>
      </c>
      <c r="W194" s="1">
        <v>2022</v>
      </c>
      <c r="X194" s="1">
        <v>2023</v>
      </c>
      <c r="Y194" s="1">
        <v>2.6318776100000001</v>
      </c>
      <c r="Z194" s="1">
        <v>2023</v>
      </c>
      <c r="AA194" s="1">
        <v>2023</v>
      </c>
      <c r="AB194" s="1">
        <v>5.7788816100000009</v>
      </c>
      <c r="AC194" s="1">
        <v>2024</v>
      </c>
      <c r="AD194" s="1" t="s">
        <v>481</v>
      </c>
    </row>
    <row r="195" spans="1:30" ht="45" x14ac:dyDescent="0.2">
      <c r="A195" s="1" t="s">
        <v>16</v>
      </c>
      <c r="B195" s="1" t="s">
        <v>425</v>
      </c>
      <c r="C195" s="5" t="s">
        <v>567</v>
      </c>
      <c r="D195" s="1" t="s">
        <v>12</v>
      </c>
      <c r="E195" s="41">
        <v>3.9</v>
      </c>
      <c r="F195" s="1" t="s">
        <v>606</v>
      </c>
      <c r="G195" s="12">
        <v>74.10776086363974</v>
      </c>
      <c r="H195" s="1" t="s">
        <v>12</v>
      </c>
      <c r="I195" s="1" t="s">
        <v>164</v>
      </c>
      <c r="J195" s="26">
        <v>42.60487371</v>
      </c>
      <c r="K195" s="26">
        <f t="shared" si="19"/>
        <v>42.60487371</v>
      </c>
      <c r="L195" s="1">
        <v>2.7856495800000003</v>
      </c>
      <c r="M195" s="1">
        <v>39.069494060000004</v>
      </c>
      <c r="N195" s="26">
        <v>0.74973006999999992</v>
      </c>
      <c r="O195" s="26">
        <v>0</v>
      </c>
      <c r="P195" s="26">
        <v>0</v>
      </c>
      <c r="Q195" s="26">
        <v>0</v>
      </c>
      <c r="R195" s="26">
        <v>0</v>
      </c>
      <c r="S195" s="1">
        <v>0</v>
      </c>
      <c r="T195" s="1">
        <v>0</v>
      </c>
      <c r="U195" s="1">
        <v>0</v>
      </c>
      <c r="V195" s="33" t="s">
        <v>479</v>
      </c>
      <c r="W195" s="1">
        <v>2022</v>
      </c>
      <c r="X195" s="1">
        <v>2023</v>
      </c>
      <c r="Y195" s="1">
        <v>5.9525697800000001</v>
      </c>
      <c r="Z195" s="1">
        <v>2023</v>
      </c>
      <c r="AA195" s="1">
        <v>2023</v>
      </c>
      <c r="AB195" s="1">
        <v>45.749678200000005</v>
      </c>
      <c r="AC195" s="1">
        <v>2024</v>
      </c>
      <c r="AD195" s="1" t="s">
        <v>481</v>
      </c>
    </row>
    <row r="196" spans="1:30" ht="45" x14ac:dyDescent="0.2">
      <c r="A196" s="1" t="s">
        <v>16</v>
      </c>
      <c r="B196" s="1" t="s">
        <v>426</v>
      </c>
      <c r="C196" s="5" t="s">
        <v>568</v>
      </c>
      <c r="D196" s="1" t="s">
        <v>12</v>
      </c>
      <c r="E196" s="11">
        <v>12.64</v>
      </c>
      <c r="F196" s="1" t="s">
        <v>606</v>
      </c>
      <c r="G196" s="12">
        <v>328.48933562679127</v>
      </c>
      <c r="H196" s="1" t="s">
        <v>12</v>
      </c>
      <c r="I196" s="1" t="s">
        <v>164</v>
      </c>
      <c r="J196" s="26">
        <v>108.28196786000001</v>
      </c>
      <c r="K196" s="26">
        <f t="shared" si="19"/>
        <v>108.28196785999998</v>
      </c>
      <c r="L196" s="1">
        <v>16.504064</v>
      </c>
      <c r="M196" s="1">
        <v>4.2066295399999998</v>
      </c>
      <c r="N196" s="26">
        <v>87.571274319999986</v>
      </c>
      <c r="O196" s="26">
        <v>0</v>
      </c>
      <c r="P196" s="26">
        <v>0</v>
      </c>
      <c r="Q196" s="26">
        <v>0</v>
      </c>
      <c r="R196" s="26">
        <v>0</v>
      </c>
      <c r="S196" s="1">
        <v>0</v>
      </c>
      <c r="T196" s="1">
        <v>0</v>
      </c>
      <c r="U196" s="1">
        <v>0</v>
      </c>
      <c r="V196" s="33" t="s">
        <v>479</v>
      </c>
      <c r="W196" s="1">
        <v>2022</v>
      </c>
      <c r="X196" s="1">
        <v>2023</v>
      </c>
      <c r="Y196" s="1">
        <v>20.710693540000001</v>
      </c>
      <c r="Z196" s="1">
        <v>2023</v>
      </c>
      <c r="AA196" s="1">
        <v>2023</v>
      </c>
      <c r="AB196" s="1">
        <v>108.90224695999999</v>
      </c>
      <c r="AC196" s="1">
        <v>2024</v>
      </c>
      <c r="AD196" s="1" t="s">
        <v>481</v>
      </c>
    </row>
    <row r="197" spans="1:30" ht="45" x14ac:dyDescent="0.2">
      <c r="A197" s="1" t="s">
        <v>16</v>
      </c>
      <c r="B197" s="1" t="s">
        <v>427</v>
      </c>
      <c r="C197" s="5" t="s">
        <v>569</v>
      </c>
      <c r="D197" s="1" t="s">
        <v>12</v>
      </c>
      <c r="E197" s="11">
        <v>1.1000000000000001</v>
      </c>
      <c r="F197" s="1" t="s">
        <v>606</v>
      </c>
      <c r="G197" s="12">
        <v>54.174108665612465</v>
      </c>
      <c r="H197" s="1" t="s">
        <v>12</v>
      </c>
      <c r="I197" s="1" t="s">
        <v>164</v>
      </c>
      <c r="J197" s="26">
        <v>26.565449430000001</v>
      </c>
      <c r="K197" s="26">
        <f t="shared" si="19"/>
        <v>26.565449429999997</v>
      </c>
      <c r="L197" s="1">
        <v>1.5768152200000001</v>
      </c>
      <c r="M197" s="1">
        <v>24.980525489999998</v>
      </c>
      <c r="N197" s="26">
        <v>8.1087199999999998E-3</v>
      </c>
      <c r="O197" s="26">
        <v>0</v>
      </c>
      <c r="P197" s="26">
        <v>0</v>
      </c>
      <c r="Q197" s="26">
        <v>0</v>
      </c>
      <c r="R197" s="26">
        <v>0</v>
      </c>
      <c r="S197" s="1">
        <v>0</v>
      </c>
      <c r="T197" s="1">
        <v>0</v>
      </c>
      <c r="U197" s="1">
        <v>0</v>
      </c>
      <c r="V197" s="33" t="s">
        <v>479</v>
      </c>
      <c r="W197" s="1">
        <v>2022</v>
      </c>
      <c r="X197" s="1">
        <v>2023</v>
      </c>
      <c r="Y197" s="1">
        <v>3.3694362600000001</v>
      </c>
      <c r="Z197" s="1">
        <v>2023</v>
      </c>
      <c r="AA197" s="1">
        <v>2023</v>
      </c>
      <c r="AB197" s="1">
        <v>25.740218459999998</v>
      </c>
      <c r="AC197" s="1">
        <v>2024</v>
      </c>
      <c r="AD197" s="1" t="s">
        <v>481</v>
      </c>
    </row>
    <row r="198" spans="1:30" ht="45" x14ac:dyDescent="0.2">
      <c r="A198" s="1" t="s">
        <v>16</v>
      </c>
      <c r="B198" s="1" t="s">
        <v>428</v>
      </c>
      <c r="C198" s="5" t="s">
        <v>570</v>
      </c>
      <c r="D198" s="1" t="s">
        <v>12</v>
      </c>
      <c r="E198" s="41">
        <v>3.9</v>
      </c>
      <c r="F198" s="1" t="s">
        <v>606</v>
      </c>
      <c r="G198" s="12">
        <v>542.45338682246825</v>
      </c>
      <c r="H198" s="1" t="s">
        <v>12</v>
      </c>
      <c r="I198" s="1" t="s">
        <v>164</v>
      </c>
      <c r="J198" s="26">
        <v>43.603388719999998</v>
      </c>
      <c r="K198" s="26">
        <f t="shared" si="19"/>
        <v>43.603388719999998</v>
      </c>
      <c r="L198" s="1">
        <v>4.0119199999999999</v>
      </c>
      <c r="M198" s="1">
        <v>28.48611515</v>
      </c>
      <c r="N198" s="26">
        <v>11.10535357</v>
      </c>
      <c r="O198" s="26">
        <v>0</v>
      </c>
      <c r="P198" s="26">
        <v>0</v>
      </c>
      <c r="Q198" s="26">
        <v>0</v>
      </c>
      <c r="R198" s="26">
        <v>0</v>
      </c>
      <c r="S198" s="1">
        <v>0</v>
      </c>
      <c r="T198" s="1">
        <v>0</v>
      </c>
      <c r="U198" s="1">
        <v>0</v>
      </c>
      <c r="V198" s="33" t="s">
        <v>479</v>
      </c>
      <c r="W198" s="1">
        <v>2022</v>
      </c>
      <c r="X198" s="1">
        <v>2023</v>
      </c>
      <c r="Y198" s="1">
        <v>8.5768995700000001</v>
      </c>
      <c r="Z198" s="1">
        <v>2023</v>
      </c>
      <c r="AA198" s="1">
        <v>2023</v>
      </c>
      <c r="AB198" s="1">
        <v>40.642165470000002</v>
      </c>
      <c r="AC198" s="1">
        <v>2024</v>
      </c>
      <c r="AD198" s="1" t="s">
        <v>481</v>
      </c>
    </row>
    <row r="199" spans="1:30" ht="45" x14ac:dyDescent="0.2">
      <c r="A199" s="1" t="s">
        <v>16</v>
      </c>
      <c r="B199" s="1" t="s">
        <v>429</v>
      </c>
      <c r="C199" s="5" t="s">
        <v>571</v>
      </c>
      <c r="D199" s="1" t="s">
        <v>12</v>
      </c>
      <c r="E199" s="41">
        <v>2.2999999999999998</v>
      </c>
      <c r="F199" s="1" t="s">
        <v>606</v>
      </c>
      <c r="G199" s="12">
        <v>26.557312059034214</v>
      </c>
      <c r="H199" s="1" t="s">
        <v>12</v>
      </c>
      <c r="I199" s="1" t="s">
        <v>164</v>
      </c>
      <c r="J199" s="26">
        <v>26.267904730000001</v>
      </c>
      <c r="K199" s="26">
        <f t="shared" si="19"/>
        <v>26.267904730000005</v>
      </c>
      <c r="L199" s="1">
        <v>2.1153759999999999</v>
      </c>
      <c r="M199" s="1">
        <v>16.188167710000002</v>
      </c>
      <c r="N199" s="26">
        <v>7.9643610200000001</v>
      </c>
      <c r="O199" s="26">
        <v>0</v>
      </c>
      <c r="P199" s="26">
        <v>0</v>
      </c>
      <c r="Q199" s="26">
        <v>0</v>
      </c>
      <c r="R199" s="26">
        <v>0</v>
      </c>
      <c r="S199" s="1">
        <v>0</v>
      </c>
      <c r="T199" s="1">
        <v>0</v>
      </c>
      <c r="U199" s="1">
        <v>0</v>
      </c>
      <c r="V199" s="33" t="s">
        <v>479</v>
      </c>
      <c r="W199" s="1">
        <v>2022</v>
      </c>
      <c r="X199" s="1">
        <v>2023</v>
      </c>
      <c r="Y199" s="1">
        <v>4.5223833100000004</v>
      </c>
      <c r="Z199" s="1">
        <v>2023</v>
      </c>
      <c r="AA199" s="1">
        <v>2023</v>
      </c>
      <c r="AB199" s="1">
        <v>25.218714710000008</v>
      </c>
      <c r="AC199" s="1">
        <v>2024</v>
      </c>
      <c r="AD199" s="1" t="s">
        <v>481</v>
      </c>
    </row>
    <row r="200" spans="1:30" ht="45" x14ac:dyDescent="0.2">
      <c r="A200" s="1" t="s">
        <v>16</v>
      </c>
      <c r="B200" s="1" t="s">
        <v>430</v>
      </c>
      <c r="C200" s="5" t="s">
        <v>572</v>
      </c>
      <c r="D200" s="1" t="s">
        <v>12</v>
      </c>
      <c r="E200" s="41">
        <v>11.5</v>
      </c>
      <c r="F200" s="1" t="s">
        <v>606</v>
      </c>
      <c r="G200" s="12">
        <v>393.90853671851789</v>
      </c>
      <c r="H200" s="1" t="s">
        <v>12</v>
      </c>
      <c r="I200" s="1" t="s">
        <v>164</v>
      </c>
      <c r="J200" s="26">
        <v>105.33499750000001</v>
      </c>
      <c r="K200" s="26">
        <f t="shared" si="19"/>
        <v>105.3349975</v>
      </c>
      <c r="L200" s="1">
        <v>4.2626650000000001</v>
      </c>
      <c r="M200" s="1">
        <v>101.06417815</v>
      </c>
      <c r="N200" s="26">
        <v>8.1543500000000012E-3</v>
      </c>
      <c r="O200" s="26">
        <v>0</v>
      </c>
      <c r="P200" s="26">
        <v>0</v>
      </c>
      <c r="Q200" s="26">
        <v>0</v>
      </c>
      <c r="R200" s="26">
        <v>0</v>
      </c>
      <c r="S200" s="1">
        <v>0</v>
      </c>
      <c r="T200" s="1">
        <v>0</v>
      </c>
      <c r="U200" s="1">
        <v>0</v>
      </c>
      <c r="V200" s="33" t="s">
        <v>479</v>
      </c>
      <c r="W200" s="1">
        <v>2022</v>
      </c>
      <c r="X200" s="1">
        <v>2023</v>
      </c>
      <c r="Y200" s="1">
        <v>9.11053493</v>
      </c>
      <c r="Z200" s="1">
        <v>2023</v>
      </c>
      <c r="AA200" s="1">
        <v>2023</v>
      </c>
      <c r="AB200" s="1">
        <v>96.22446257</v>
      </c>
      <c r="AC200" s="1">
        <v>2024</v>
      </c>
      <c r="AD200" s="1" t="s">
        <v>481</v>
      </c>
    </row>
    <row r="201" spans="1:30" ht="45" x14ac:dyDescent="0.2">
      <c r="A201" s="1" t="s">
        <v>16</v>
      </c>
      <c r="B201" s="1" t="s">
        <v>431</v>
      </c>
      <c r="C201" s="5" t="s">
        <v>573</v>
      </c>
      <c r="D201" s="1" t="s">
        <v>12</v>
      </c>
      <c r="E201" s="41">
        <v>4.7</v>
      </c>
      <c r="F201" s="1" t="s">
        <v>606</v>
      </c>
      <c r="G201" s="12">
        <v>141.3729258513396</v>
      </c>
      <c r="H201" s="1" t="s">
        <v>12</v>
      </c>
      <c r="I201" s="1" t="s">
        <v>164</v>
      </c>
      <c r="J201" s="26">
        <v>51.075201060000005</v>
      </c>
      <c r="K201" s="26">
        <f t="shared" si="19"/>
        <v>51.075201059999998</v>
      </c>
      <c r="L201" s="1">
        <v>2.8000969100000002</v>
      </c>
      <c r="M201" s="1">
        <v>20.667836149999999</v>
      </c>
      <c r="N201" s="26">
        <v>27.607268000000001</v>
      </c>
      <c r="O201" s="26">
        <v>0</v>
      </c>
      <c r="P201" s="26">
        <v>0</v>
      </c>
      <c r="Q201" s="26">
        <v>0</v>
      </c>
      <c r="R201" s="26">
        <v>0</v>
      </c>
      <c r="S201" s="1">
        <v>0</v>
      </c>
      <c r="T201" s="1">
        <v>0</v>
      </c>
      <c r="U201" s="1">
        <v>0</v>
      </c>
      <c r="V201" s="33" t="s">
        <v>479</v>
      </c>
      <c r="W201" s="1">
        <v>2022</v>
      </c>
      <c r="X201" s="1">
        <v>2023</v>
      </c>
      <c r="Y201" s="1">
        <v>5.9834632399999998</v>
      </c>
      <c r="Z201" s="1">
        <v>2023</v>
      </c>
      <c r="AA201" s="1">
        <v>2023</v>
      </c>
      <c r="AB201" s="1">
        <v>53.466708359999998</v>
      </c>
      <c r="AC201" s="1">
        <v>2024</v>
      </c>
      <c r="AD201" s="1" t="s">
        <v>481</v>
      </c>
    </row>
    <row r="202" spans="1:30" ht="45" x14ac:dyDescent="0.2">
      <c r="A202" s="1" t="s">
        <v>16</v>
      </c>
      <c r="B202" s="1" t="s">
        <v>432</v>
      </c>
      <c r="C202" s="5" t="s">
        <v>574</v>
      </c>
      <c r="D202" s="1" t="s">
        <v>12</v>
      </c>
      <c r="E202" s="41">
        <v>4.4000000000000004</v>
      </c>
      <c r="F202" s="1" t="s">
        <v>606</v>
      </c>
      <c r="G202" s="12">
        <v>154.58273319459659</v>
      </c>
      <c r="H202" s="1" t="s">
        <v>12</v>
      </c>
      <c r="I202" s="1" t="s">
        <v>164</v>
      </c>
      <c r="J202" s="26">
        <v>42.721016999999989</v>
      </c>
      <c r="K202" s="26">
        <f t="shared" si="19"/>
        <v>42.721016999999996</v>
      </c>
      <c r="L202" s="1">
        <v>3.1557689399999997</v>
      </c>
      <c r="M202" s="1">
        <v>30.370583059999998</v>
      </c>
      <c r="N202" s="26">
        <v>9.1946650000000005</v>
      </c>
      <c r="O202" s="26">
        <v>0</v>
      </c>
      <c r="P202" s="26">
        <v>0</v>
      </c>
      <c r="Q202" s="26">
        <v>0</v>
      </c>
      <c r="R202" s="26">
        <v>0</v>
      </c>
      <c r="S202" s="1">
        <v>0</v>
      </c>
      <c r="T202" s="1">
        <v>0</v>
      </c>
      <c r="U202" s="1">
        <v>0</v>
      </c>
      <c r="V202" s="33" t="s">
        <v>479</v>
      </c>
      <c r="W202" s="1">
        <v>2022</v>
      </c>
      <c r="X202" s="1">
        <v>2023</v>
      </c>
      <c r="Y202" s="1">
        <v>6.7435195500000003</v>
      </c>
      <c r="Z202" s="1">
        <v>2023</v>
      </c>
      <c r="AA202" s="1">
        <v>2023</v>
      </c>
      <c r="AB202" s="1">
        <v>52.897284979999995</v>
      </c>
      <c r="AC202" s="1">
        <v>2024</v>
      </c>
      <c r="AD202" s="1" t="s">
        <v>481</v>
      </c>
    </row>
    <row r="203" spans="1:30" ht="45" x14ac:dyDescent="0.2">
      <c r="A203" s="1" t="s">
        <v>16</v>
      </c>
      <c r="B203" s="1" t="s">
        <v>433</v>
      </c>
      <c r="C203" s="5" t="s">
        <v>575</v>
      </c>
      <c r="D203" s="1" t="s">
        <v>12</v>
      </c>
      <c r="E203" s="41">
        <v>0.8</v>
      </c>
      <c r="F203" s="1" t="s">
        <v>606</v>
      </c>
      <c r="G203" s="12">
        <v>4.7580427047569742</v>
      </c>
      <c r="H203" s="1" t="s">
        <v>12</v>
      </c>
      <c r="I203" s="1" t="s">
        <v>164</v>
      </c>
      <c r="J203" s="26">
        <v>11.34391688</v>
      </c>
      <c r="K203" s="26">
        <f t="shared" si="19"/>
        <v>11.34391688</v>
      </c>
      <c r="L203" s="1">
        <v>1.0852836000000001</v>
      </c>
      <c r="M203" s="1">
        <v>9.9551733000000002</v>
      </c>
      <c r="N203" s="26">
        <v>0.15704104000000002</v>
      </c>
      <c r="O203" s="26">
        <v>0.14641894</v>
      </c>
      <c r="P203" s="26">
        <v>0</v>
      </c>
      <c r="Q203" s="26">
        <v>0</v>
      </c>
      <c r="R203" s="26">
        <v>0</v>
      </c>
      <c r="S203" s="1">
        <v>0</v>
      </c>
      <c r="T203" s="1">
        <v>0</v>
      </c>
      <c r="U203" s="1">
        <v>0</v>
      </c>
      <c r="V203" s="33" t="s">
        <v>479</v>
      </c>
      <c r="W203" s="1">
        <v>2022</v>
      </c>
      <c r="X203" s="1">
        <v>2023</v>
      </c>
      <c r="Y203" s="1">
        <v>3.7598767199999998</v>
      </c>
      <c r="Z203" s="1">
        <v>2023</v>
      </c>
      <c r="AA203" s="1">
        <v>2024</v>
      </c>
      <c r="AB203" s="1">
        <v>9.6341466900000015</v>
      </c>
      <c r="AC203" s="1">
        <v>2025</v>
      </c>
      <c r="AD203" s="1" t="s">
        <v>481</v>
      </c>
    </row>
    <row r="204" spans="1:30" ht="45" x14ac:dyDescent="0.2">
      <c r="A204" s="1" t="s">
        <v>16</v>
      </c>
      <c r="B204" s="1" t="s">
        <v>434</v>
      </c>
      <c r="C204" s="5" t="s">
        <v>576</v>
      </c>
      <c r="D204" s="1" t="s">
        <v>12</v>
      </c>
      <c r="E204" s="41">
        <v>4.9000000000000004</v>
      </c>
      <c r="F204" s="1" t="s">
        <v>606</v>
      </c>
      <c r="G204" s="12">
        <v>144.08178745043404</v>
      </c>
      <c r="H204" s="1" t="s">
        <v>12</v>
      </c>
      <c r="I204" s="1" t="s">
        <v>164</v>
      </c>
      <c r="J204" s="26">
        <v>67.686786310000002</v>
      </c>
      <c r="K204" s="26">
        <f t="shared" si="19"/>
        <v>67.686786310000002</v>
      </c>
      <c r="L204" s="1">
        <v>5.81281961</v>
      </c>
      <c r="M204" s="1">
        <v>50.009032380000001</v>
      </c>
      <c r="N204" s="26">
        <v>11.86493432</v>
      </c>
      <c r="O204" s="26">
        <v>0</v>
      </c>
      <c r="P204" s="26">
        <v>0</v>
      </c>
      <c r="Q204" s="26">
        <v>0</v>
      </c>
      <c r="R204" s="26">
        <v>0</v>
      </c>
      <c r="S204" s="1">
        <v>0</v>
      </c>
      <c r="T204" s="1">
        <v>0</v>
      </c>
      <c r="U204" s="1">
        <v>0</v>
      </c>
      <c r="V204" s="33" t="s">
        <v>479</v>
      </c>
      <c r="W204" s="1">
        <v>2022</v>
      </c>
      <c r="X204" s="40">
        <v>2023</v>
      </c>
      <c r="Y204" s="1">
        <v>20.137871530000002</v>
      </c>
      <c r="Z204" s="40">
        <v>2023</v>
      </c>
      <c r="AA204" s="40">
        <v>2024</v>
      </c>
      <c r="AB204" s="1">
        <v>53.939749970000008</v>
      </c>
      <c r="AC204" s="40">
        <v>2025</v>
      </c>
      <c r="AD204" s="1" t="s">
        <v>481</v>
      </c>
    </row>
    <row r="205" spans="1:30" ht="45" x14ac:dyDescent="0.2">
      <c r="A205" s="1" t="s">
        <v>16</v>
      </c>
      <c r="B205" s="1" t="s">
        <v>435</v>
      </c>
      <c r="C205" s="5" t="s">
        <v>577</v>
      </c>
      <c r="D205" s="1" t="s">
        <v>12</v>
      </c>
      <c r="E205" s="11">
        <v>9</v>
      </c>
      <c r="F205" s="1" t="s">
        <v>606</v>
      </c>
      <c r="G205" s="12">
        <v>68.723498239296063</v>
      </c>
      <c r="H205" s="1" t="s">
        <v>12</v>
      </c>
      <c r="I205" s="1" t="s">
        <v>164</v>
      </c>
      <c r="J205" s="26">
        <v>52.086420440000005</v>
      </c>
      <c r="K205" s="26">
        <f t="shared" si="19"/>
        <v>52.086420439999991</v>
      </c>
      <c r="L205" s="1">
        <v>7.4453829999999999E-2</v>
      </c>
      <c r="M205" s="1">
        <v>3.8580231899999999</v>
      </c>
      <c r="N205" s="26">
        <v>9.3083383999999985</v>
      </c>
      <c r="O205" s="26">
        <v>38.814302069999997</v>
      </c>
      <c r="P205" s="26">
        <v>3.1302949999999996E-2</v>
      </c>
      <c r="Q205" s="26">
        <v>0</v>
      </c>
      <c r="R205" s="26">
        <v>0</v>
      </c>
      <c r="S205" s="1">
        <v>0</v>
      </c>
      <c r="T205" s="1">
        <v>0</v>
      </c>
      <c r="U205" s="1">
        <v>0</v>
      </c>
      <c r="V205" s="33" t="s">
        <v>479</v>
      </c>
      <c r="W205" s="1">
        <v>2022</v>
      </c>
      <c r="X205" s="40">
        <v>2024</v>
      </c>
      <c r="Y205" s="1">
        <v>13.240815419999999</v>
      </c>
      <c r="Z205" s="40">
        <v>2024</v>
      </c>
      <c r="AA205" s="40">
        <v>2026</v>
      </c>
      <c r="AB205" s="1">
        <v>58.323385719999997</v>
      </c>
      <c r="AC205" s="40">
        <v>2027</v>
      </c>
      <c r="AD205" s="1" t="s">
        <v>481</v>
      </c>
    </row>
    <row r="206" spans="1:30" ht="45" x14ac:dyDescent="0.2">
      <c r="A206" s="1" t="s">
        <v>16</v>
      </c>
      <c r="B206" s="1" t="s">
        <v>436</v>
      </c>
      <c r="C206" s="5" t="s">
        <v>578</v>
      </c>
      <c r="D206" s="1" t="s">
        <v>12</v>
      </c>
      <c r="E206" s="11">
        <v>21.5</v>
      </c>
      <c r="F206" s="1" t="s">
        <v>606</v>
      </c>
      <c r="G206" s="12">
        <v>1005.8598525084019</v>
      </c>
      <c r="H206" s="1" t="s">
        <v>12</v>
      </c>
      <c r="I206" s="1" t="s">
        <v>164</v>
      </c>
      <c r="J206" s="26">
        <v>204.20816075000002</v>
      </c>
      <c r="K206" s="26">
        <f t="shared" si="19"/>
        <v>204.20816074999999</v>
      </c>
      <c r="L206" s="1">
        <f>298423.18/1000000</f>
        <v>0.29842318000000001</v>
      </c>
      <c r="M206" s="1">
        <f>8691345.39/1000000</f>
        <v>8.6913453900000004</v>
      </c>
      <c r="N206" s="26">
        <v>105.69053885</v>
      </c>
      <c r="O206" s="26">
        <v>89.527853329999999</v>
      </c>
      <c r="P206" s="26">
        <v>0</v>
      </c>
      <c r="Q206" s="26">
        <v>0</v>
      </c>
      <c r="R206" s="26">
        <v>0</v>
      </c>
      <c r="S206" s="1">
        <v>0</v>
      </c>
      <c r="T206" s="1">
        <v>0</v>
      </c>
      <c r="U206" s="1">
        <v>0</v>
      </c>
      <c r="V206" s="33" t="s">
        <v>479</v>
      </c>
      <c r="W206" s="1">
        <v>2022</v>
      </c>
      <c r="X206" s="40">
        <v>2024</v>
      </c>
      <c r="Y206" s="1">
        <v>29.88549785</v>
      </c>
      <c r="Z206" s="40">
        <v>2024</v>
      </c>
      <c r="AA206" s="1">
        <v>2024</v>
      </c>
      <c r="AB206" s="1">
        <v>238.72769708000001</v>
      </c>
      <c r="AC206" s="1">
        <v>2025</v>
      </c>
      <c r="AD206" s="1" t="s">
        <v>481</v>
      </c>
    </row>
    <row r="207" spans="1:30" ht="45" x14ac:dyDescent="0.2">
      <c r="A207" s="1" t="s">
        <v>16</v>
      </c>
      <c r="B207" s="1" t="s">
        <v>437</v>
      </c>
      <c r="C207" s="5" t="s">
        <v>579</v>
      </c>
      <c r="D207" s="1" t="s">
        <v>12</v>
      </c>
      <c r="E207" s="41">
        <v>7.6</v>
      </c>
      <c r="F207" s="1" t="s">
        <v>606</v>
      </c>
      <c r="G207" s="12">
        <v>206.01277237816689</v>
      </c>
      <c r="H207" s="1" t="s">
        <v>12</v>
      </c>
      <c r="I207" s="1" t="s">
        <v>164</v>
      </c>
      <c r="J207" s="26">
        <v>87.867700609999986</v>
      </c>
      <c r="K207" s="26">
        <f t="shared" si="19"/>
        <v>87.867700609999986</v>
      </c>
      <c r="L207" s="1">
        <v>6.1577130000000001E-2</v>
      </c>
      <c r="M207" s="1">
        <v>10.873122820000001</v>
      </c>
      <c r="N207" s="26">
        <v>63.023444959999992</v>
      </c>
      <c r="O207" s="26">
        <v>13.909555699999999</v>
      </c>
      <c r="P207" s="26">
        <v>0</v>
      </c>
      <c r="Q207" s="26">
        <v>0</v>
      </c>
      <c r="R207" s="26">
        <v>0</v>
      </c>
      <c r="S207" s="1">
        <v>0</v>
      </c>
      <c r="T207" s="1">
        <v>0</v>
      </c>
      <c r="U207" s="1">
        <v>0</v>
      </c>
      <c r="V207" s="33" t="s">
        <v>479</v>
      </c>
      <c r="W207" s="1">
        <v>2022</v>
      </c>
      <c r="X207" s="1">
        <v>2023</v>
      </c>
      <c r="Y207" s="1">
        <v>10.934699949999999</v>
      </c>
      <c r="Z207" s="1">
        <v>2023</v>
      </c>
      <c r="AA207" s="1">
        <v>2024</v>
      </c>
      <c r="AB207" s="1">
        <v>103.26980098</v>
      </c>
      <c r="AC207" s="1">
        <v>2025</v>
      </c>
      <c r="AD207" s="1" t="s">
        <v>481</v>
      </c>
    </row>
    <row r="208" spans="1:30" ht="45" x14ac:dyDescent="0.2">
      <c r="A208" s="1" t="s">
        <v>16</v>
      </c>
      <c r="B208" s="1" t="s">
        <v>438</v>
      </c>
      <c r="C208" s="5" t="s">
        <v>580</v>
      </c>
      <c r="D208" s="1" t="s">
        <v>12</v>
      </c>
      <c r="E208" s="41">
        <v>2.1</v>
      </c>
      <c r="F208" s="1" t="s">
        <v>606</v>
      </c>
      <c r="G208" s="12">
        <v>83.261056529059204</v>
      </c>
      <c r="H208" s="1" t="s">
        <v>12</v>
      </c>
      <c r="I208" s="1" t="s">
        <v>164</v>
      </c>
      <c r="J208" s="26">
        <v>22.093636599999996</v>
      </c>
      <c r="K208" s="26">
        <f t="shared" si="19"/>
        <v>22.093636600000004</v>
      </c>
      <c r="L208" s="1">
        <v>1.25655519</v>
      </c>
      <c r="M208" s="1">
        <v>20.35173932</v>
      </c>
      <c r="N208" s="26">
        <v>8.0923210000000009E-2</v>
      </c>
      <c r="O208" s="26">
        <v>0.40441887999999998</v>
      </c>
      <c r="P208" s="26">
        <v>0</v>
      </c>
      <c r="Q208" s="26">
        <v>0</v>
      </c>
      <c r="R208" s="26">
        <v>0</v>
      </c>
      <c r="S208" s="1">
        <v>0</v>
      </c>
      <c r="T208" s="1">
        <v>0</v>
      </c>
      <c r="U208" s="1">
        <v>0</v>
      </c>
      <c r="V208" s="33" t="s">
        <v>479</v>
      </c>
      <c r="W208" s="1">
        <v>2022</v>
      </c>
      <c r="X208" s="1">
        <v>2023</v>
      </c>
      <c r="Y208" s="1">
        <v>4.3532329699999996</v>
      </c>
      <c r="Z208" s="1">
        <v>2023</v>
      </c>
      <c r="AA208" s="1">
        <v>2024</v>
      </c>
      <c r="AB208" s="1">
        <v>23.839872159999999</v>
      </c>
      <c r="AC208" s="1">
        <v>2025</v>
      </c>
      <c r="AD208" s="1" t="s">
        <v>481</v>
      </c>
    </row>
    <row r="209" spans="1:30" ht="45" x14ac:dyDescent="0.2">
      <c r="A209" s="1" t="s">
        <v>16</v>
      </c>
      <c r="B209" s="1" t="s">
        <v>439</v>
      </c>
      <c r="C209" s="5" t="s">
        <v>581</v>
      </c>
      <c r="D209" s="1" t="s">
        <v>12</v>
      </c>
      <c r="E209" s="11">
        <v>1</v>
      </c>
      <c r="F209" s="1" t="s">
        <v>606</v>
      </c>
      <c r="G209" s="12">
        <v>29.545026435797396</v>
      </c>
      <c r="H209" s="1" t="s">
        <v>12</v>
      </c>
      <c r="I209" s="1" t="s">
        <v>164</v>
      </c>
      <c r="J209" s="26">
        <v>11.416274709999998</v>
      </c>
      <c r="K209" s="26">
        <f t="shared" si="19"/>
        <v>11.416274710000001</v>
      </c>
      <c r="L209" s="1">
        <v>1.9221400000000003E-2</v>
      </c>
      <c r="M209" s="1">
        <v>0.99582896999999992</v>
      </c>
      <c r="N209" s="26">
        <v>10.180810300000001</v>
      </c>
      <c r="O209" s="26">
        <v>0.22041404000000001</v>
      </c>
      <c r="P209" s="26">
        <v>0</v>
      </c>
      <c r="Q209" s="26">
        <v>0</v>
      </c>
      <c r="R209" s="26">
        <v>0</v>
      </c>
      <c r="S209" s="1">
        <v>0</v>
      </c>
      <c r="T209" s="1">
        <v>0</v>
      </c>
      <c r="U209" s="1">
        <v>0</v>
      </c>
      <c r="V209" s="33" t="s">
        <v>479</v>
      </c>
      <c r="W209" s="1">
        <v>2022</v>
      </c>
      <c r="X209" s="40">
        <v>2024</v>
      </c>
      <c r="Y209" s="1">
        <v>3.4172240600000001</v>
      </c>
      <c r="Z209" s="40">
        <v>2024</v>
      </c>
      <c r="AA209" s="1">
        <v>2024</v>
      </c>
      <c r="AB209" s="1">
        <v>9.7191483899999973</v>
      </c>
      <c r="AC209" s="1">
        <v>2025</v>
      </c>
      <c r="AD209" s="1" t="s">
        <v>481</v>
      </c>
    </row>
    <row r="210" spans="1:30" ht="56.25" x14ac:dyDescent="0.2">
      <c r="A210" s="1" t="s">
        <v>16</v>
      </c>
      <c r="B210" s="1" t="s">
        <v>440</v>
      </c>
      <c r="C210" s="5" t="s">
        <v>582</v>
      </c>
      <c r="D210" s="1" t="s">
        <v>12</v>
      </c>
      <c r="E210" s="11">
        <v>28.957000000000001</v>
      </c>
      <c r="F210" s="1" t="s">
        <v>606</v>
      </c>
      <c r="G210" s="12">
        <v>4490.8260192819735</v>
      </c>
      <c r="H210" s="1" t="s">
        <v>12</v>
      </c>
      <c r="I210" s="1" t="s">
        <v>164</v>
      </c>
      <c r="J210" s="26">
        <v>592.75684307999995</v>
      </c>
      <c r="K210" s="26">
        <f t="shared" si="19"/>
        <v>592.75684308000007</v>
      </c>
      <c r="L210" s="1">
        <v>0</v>
      </c>
      <c r="M210" s="1">
        <v>0</v>
      </c>
      <c r="N210" s="26">
        <v>4.2318499999999995E-2</v>
      </c>
      <c r="O210" s="26">
        <v>5.0554444400000005</v>
      </c>
      <c r="P210" s="26">
        <v>0</v>
      </c>
      <c r="Q210" s="26">
        <v>40.76093066</v>
      </c>
      <c r="R210" s="26">
        <v>546.89814948000003</v>
      </c>
      <c r="S210" s="1">
        <v>0</v>
      </c>
      <c r="T210" s="1">
        <v>0</v>
      </c>
      <c r="U210" s="1">
        <v>0</v>
      </c>
      <c r="V210" s="33" t="s">
        <v>479</v>
      </c>
      <c r="W210" s="1">
        <v>2024</v>
      </c>
      <c r="X210" s="40">
        <v>2027</v>
      </c>
      <c r="Y210" s="1">
        <v>45.858693599999995</v>
      </c>
      <c r="Z210" s="40">
        <v>2027</v>
      </c>
      <c r="AA210" s="1">
        <v>2028</v>
      </c>
      <c r="AB210" s="1">
        <v>546.89427605999992</v>
      </c>
      <c r="AC210" s="1">
        <v>2029</v>
      </c>
      <c r="AD210" s="1" t="s">
        <v>481</v>
      </c>
    </row>
    <row r="211" spans="1:30" ht="56.25" x14ac:dyDescent="0.2">
      <c r="A211" s="1" t="s">
        <v>16</v>
      </c>
      <c r="B211" s="1" t="s">
        <v>441</v>
      </c>
      <c r="C211" s="5" t="s">
        <v>583</v>
      </c>
      <c r="D211" s="1" t="s">
        <v>12</v>
      </c>
      <c r="E211" s="11">
        <v>33.774999999999999</v>
      </c>
      <c r="F211" s="1" t="s">
        <v>606</v>
      </c>
      <c r="G211" s="12">
        <v>4751.1625273309637</v>
      </c>
      <c r="H211" s="1" t="s">
        <v>12</v>
      </c>
      <c r="I211" s="1" t="s">
        <v>164</v>
      </c>
      <c r="J211" s="26">
        <v>691.37794623999991</v>
      </c>
      <c r="K211" s="26">
        <f t="shared" si="19"/>
        <v>691.37794622999991</v>
      </c>
      <c r="L211" s="1">
        <v>0</v>
      </c>
      <c r="M211" s="1">
        <v>0</v>
      </c>
      <c r="N211" s="26">
        <v>2.2177420000000003E-2</v>
      </c>
      <c r="O211" s="26">
        <v>5.8427592600000002</v>
      </c>
      <c r="P211" s="26">
        <v>0</v>
      </c>
      <c r="Q211" s="26">
        <v>46.908399719999998</v>
      </c>
      <c r="R211" s="26">
        <v>638.60460982999996</v>
      </c>
      <c r="S211" s="1">
        <v>0</v>
      </c>
      <c r="T211" s="1">
        <v>0</v>
      </c>
      <c r="U211" s="1">
        <v>0</v>
      </c>
      <c r="V211" s="33" t="s">
        <v>479</v>
      </c>
      <c r="W211" s="1">
        <v>2024</v>
      </c>
      <c r="X211" s="40">
        <v>2027</v>
      </c>
      <c r="Y211" s="1">
        <v>52.773336410000006</v>
      </c>
      <c r="Z211" s="40">
        <v>2027</v>
      </c>
      <c r="AA211" s="1">
        <v>2028</v>
      </c>
      <c r="AB211" s="1">
        <v>638.60435629000017</v>
      </c>
      <c r="AC211" s="1">
        <v>2029</v>
      </c>
      <c r="AD211" s="1" t="s">
        <v>481</v>
      </c>
    </row>
    <row r="212" spans="1:30" ht="56.25" x14ac:dyDescent="0.2">
      <c r="A212" s="1" t="s">
        <v>16</v>
      </c>
      <c r="B212" s="1" t="s">
        <v>442</v>
      </c>
      <c r="C212" s="5" t="s">
        <v>584</v>
      </c>
      <c r="D212" s="1" t="s">
        <v>12</v>
      </c>
      <c r="E212" s="11">
        <v>27.117999999999999</v>
      </c>
      <c r="F212" s="1" t="s">
        <v>606</v>
      </c>
      <c r="G212" s="12">
        <v>5870.9812892289028</v>
      </c>
      <c r="H212" s="1" t="s">
        <v>12</v>
      </c>
      <c r="I212" s="1" t="s">
        <v>164</v>
      </c>
      <c r="J212" s="26">
        <v>555.11206463000008</v>
      </c>
      <c r="K212" s="26">
        <f t="shared" si="19"/>
        <v>555.11206462999996</v>
      </c>
      <c r="L212" s="1">
        <v>0</v>
      </c>
      <c r="M212" s="1">
        <v>0</v>
      </c>
      <c r="N212" s="26">
        <v>3.9627799999999998E-2</v>
      </c>
      <c r="O212" s="26">
        <v>4.7192777800000005</v>
      </c>
      <c r="P212" s="26">
        <v>0</v>
      </c>
      <c r="Q212" s="26">
        <v>38.0514133</v>
      </c>
      <c r="R212" s="26">
        <v>512.30174575000001</v>
      </c>
      <c r="S212" s="1">
        <v>0</v>
      </c>
      <c r="T212" s="1">
        <v>0</v>
      </c>
      <c r="U212" s="1">
        <v>0</v>
      </c>
      <c r="V212" s="33" t="s">
        <v>479</v>
      </c>
      <c r="W212" s="1">
        <v>2024</v>
      </c>
      <c r="X212" s="40">
        <v>2027</v>
      </c>
      <c r="Y212" s="1">
        <v>42.810318879999997</v>
      </c>
      <c r="Z212" s="40">
        <v>2027</v>
      </c>
      <c r="AA212" s="1">
        <v>2028</v>
      </c>
      <c r="AB212" s="1">
        <v>512.29815268000004</v>
      </c>
      <c r="AC212" s="1">
        <v>2029</v>
      </c>
      <c r="AD212" s="1" t="s">
        <v>481</v>
      </c>
    </row>
    <row r="213" spans="1:30" ht="56.25" x14ac:dyDescent="0.2">
      <c r="A213" s="1" t="s">
        <v>16</v>
      </c>
      <c r="B213" s="1" t="s">
        <v>443</v>
      </c>
      <c r="C213" s="5" t="s">
        <v>585</v>
      </c>
      <c r="D213" s="1" t="s">
        <v>12</v>
      </c>
      <c r="E213" s="11">
        <v>49</v>
      </c>
      <c r="F213" s="1" t="s">
        <v>606</v>
      </c>
      <c r="G213" s="12">
        <v>11256.457424861172</v>
      </c>
      <c r="H213" s="1" t="s">
        <v>12</v>
      </c>
      <c r="I213" s="1" t="s">
        <v>164</v>
      </c>
      <c r="J213" s="29">
        <v>852.57942975999993</v>
      </c>
      <c r="K213" s="26">
        <f t="shared" si="19"/>
        <v>852.58005840999999</v>
      </c>
      <c r="L213" s="1">
        <v>0</v>
      </c>
      <c r="M213" s="1">
        <v>0</v>
      </c>
      <c r="N213" s="26">
        <v>2.7350440000000004E-2</v>
      </c>
      <c r="O213" s="26">
        <v>7.6900185199999997</v>
      </c>
      <c r="P213" s="26">
        <v>0</v>
      </c>
      <c r="Q213" s="26">
        <v>61.72524233</v>
      </c>
      <c r="R213" s="26">
        <v>783.13744712000005</v>
      </c>
      <c r="S213" s="1">
        <v>0</v>
      </c>
      <c r="T213" s="1">
        <v>0</v>
      </c>
      <c r="U213" s="1">
        <v>0</v>
      </c>
      <c r="V213" s="33" t="s">
        <v>479</v>
      </c>
      <c r="W213" s="1">
        <v>2024</v>
      </c>
      <c r="X213" s="40">
        <v>2027</v>
      </c>
      <c r="Y213" s="1">
        <v>69.441982640000006</v>
      </c>
      <c r="Z213" s="40">
        <v>2027</v>
      </c>
      <c r="AA213" s="1">
        <v>2028</v>
      </c>
      <c r="AB213" s="1">
        <v>783.13744713000006</v>
      </c>
      <c r="AC213" s="1">
        <v>2029</v>
      </c>
      <c r="AD213" s="1" t="s">
        <v>481</v>
      </c>
    </row>
    <row r="214" spans="1:30" ht="56.25" x14ac:dyDescent="0.2">
      <c r="A214" s="1" t="s">
        <v>16</v>
      </c>
      <c r="B214" s="1" t="s">
        <v>444</v>
      </c>
      <c r="C214" s="5" t="s">
        <v>585</v>
      </c>
      <c r="D214" s="1" t="s">
        <v>12</v>
      </c>
      <c r="E214" s="11">
        <v>49</v>
      </c>
      <c r="F214" s="1" t="s">
        <v>606</v>
      </c>
      <c r="G214" s="12" t="s">
        <v>606</v>
      </c>
      <c r="H214" s="1" t="s">
        <v>12</v>
      </c>
      <c r="I214" s="1" t="s">
        <v>164</v>
      </c>
      <c r="J214" s="26">
        <v>852.57937775999994</v>
      </c>
      <c r="K214" s="26">
        <f t="shared" si="19"/>
        <v>852.58005840999999</v>
      </c>
      <c r="L214" s="1">
        <v>0</v>
      </c>
      <c r="M214" s="1">
        <v>0</v>
      </c>
      <c r="N214" s="26">
        <v>2.7350440000000004E-2</v>
      </c>
      <c r="O214" s="26">
        <v>7.6214629699999996</v>
      </c>
      <c r="P214" s="26">
        <v>0</v>
      </c>
      <c r="Q214" s="26">
        <v>61.17681726</v>
      </c>
      <c r="R214" s="26">
        <v>783.75442773999998</v>
      </c>
      <c r="S214" s="1">
        <v>0</v>
      </c>
      <c r="T214" s="1">
        <v>0</v>
      </c>
      <c r="U214" s="1">
        <v>0</v>
      </c>
      <c r="V214" s="33" t="s">
        <v>479</v>
      </c>
      <c r="W214" s="1">
        <v>2024</v>
      </c>
      <c r="X214" s="40">
        <v>2027</v>
      </c>
      <c r="Y214" s="1">
        <v>68.821072259999994</v>
      </c>
      <c r="Z214" s="40">
        <v>2027</v>
      </c>
      <c r="AA214" s="1">
        <v>2028</v>
      </c>
      <c r="AB214" s="1">
        <v>783.75830550000001</v>
      </c>
      <c r="AC214" s="1">
        <v>2029</v>
      </c>
      <c r="AD214" s="1" t="s">
        <v>481</v>
      </c>
    </row>
    <row r="215" spans="1:30" ht="56.25" x14ac:dyDescent="0.2">
      <c r="A215" s="1" t="s">
        <v>16</v>
      </c>
      <c r="B215" s="1" t="s">
        <v>445</v>
      </c>
      <c r="C215" s="5" t="s">
        <v>585</v>
      </c>
      <c r="D215" s="1" t="s">
        <v>12</v>
      </c>
      <c r="E215" s="11">
        <v>46</v>
      </c>
      <c r="F215" s="1" t="s">
        <v>606</v>
      </c>
      <c r="G215" s="12" t="s">
        <v>606</v>
      </c>
      <c r="H215" s="1" t="s">
        <v>12</v>
      </c>
      <c r="I215" s="1" t="s">
        <v>164</v>
      </c>
      <c r="J215" s="26">
        <v>800.37862117999998</v>
      </c>
      <c r="K215" s="26">
        <f t="shared" si="19"/>
        <v>800.37699999999995</v>
      </c>
      <c r="L215" s="1">
        <v>0</v>
      </c>
      <c r="M215" s="1">
        <v>0</v>
      </c>
      <c r="N215" s="26">
        <v>0</v>
      </c>
      <c r="O215" s="26">
        <v>7.1786944400000001</v>
      </c>
      <c r="P215" s="26">
        <v>0</v>
      </c>
      <c r="Q215" s="26">
        <v>57.42953748</v>
      </c>
      <c r="R215" s="26">
        <v>735.76876807999997</v>
      </c>
      <c r="S215" s="1">
        <v>0</v>
      </c>
      <c r="T215" s="1">
        <v>0</v>
      </c>
      <c r="U215" s="1">
        <v>0</v>
      </c>
      <c r="V215" s="33" t="s">
        <v>479</v>
      </c>
      <c r="W215" s="1">
        <v>2024</v>
      </c>
      <c r="X215" s="40">
        <v>2027</v>
      </c>
      <c r="Y215" s="1">
        <v>64.608231919999994</v>
      </c>
      <c r="Z215" s="40">
        <v>2027</v>
      </c>
      <c r="AA215" s="1">
        <v>2028</v>
      </c>
      <c r="AB215" s="1">
        <v>735.77038926</v>
      </c>
      <c r="AC215" s="1">
        <v>2029</v>
      </c>
      <c r="AD215" s="1" t="s">
        <v>481</v>
      </c>
    </row>
    <row r="216" spans="1:30" ht="56.25" x14ac:dyDescent="0.2">
      <c r="A216" s="1" t="s">
        <v>16</v>
      </c>
      <c r="B216" s="1" t="s">
        <v>446</v>
      </c>
      <c r="C216" s="5" t="s">
        <v>586</v>
      </c>
      <c r="D216" s="1" t="s">
        <v>12</v>
      </c>
      <c r="E216" s="11">
        <v>38.4</v>
      </c>
      <c r="F216" s="1" t="s">
        <v>606</v>
      </c>
      <c r="G216" s="12">
        <v>4992.7812448963232</v>
      </c>
      <c r="H216" s="1" t="s">
        <v>12</v>
      </c>
      <c r="I216" s="1" t="s">
        <v>164</v>
      </c>
      <c r="J216" s="26">
        <v>786.05220242999997</v>
      </c>
      <c r="K216" s="26">
        <f t="shared" si="19"/>
        <v>786.05220243000008</v>
      </c>
      <c r="L216" s="1">
        <v>0</v>
      </c>
      <c r="M216" s="1">
        <v>0</v>
      </c>
      <c r="N216" s="26">
        <v>2.5214529999999999E-2</v>
      </c>
      <c r="O216" s="26">
        <v>6.5777222200000001</v>
      </c>
      <c r="P216" s="26">
        <v>0</v>
      </c>
      <c r="Q216" s="26">
        <v>52.81088476</v>
      </c>
      <c r="R216" s="26">
        <v>726.63838092000003</v>
      </c>
      <c r="S216" s="1">
        <v>0</v>
      </c>
      <c r="T216" s="1">
        <v>0</v>
      </c>
      <c r="U216" s="1">
        <v>0</v>
      </c>
      <c r="V216" s="33" t="s">
        <v>479</v>
      </c>
      <c r="W216" s="1">
        <v>2024</v>
      </c>
      <c r="X216" s="40">
        <v>2027</v>
      </c>
      <c r="Y216" s="1">
        <v>59.413821509999998</v>
      </c>
      <c r="Z216" s="40">
        <v>2027</v>
      </c>
      <c r="AA216" s="1">
        <v>2028</v>
      </c>
      <c r="AB216" s="1">
        <v>726.63785281000003</v>
      </c>
      <c r="AC216" s="1">
        <v>2029</v>
      </c>
      <c r="AD216" s="1" t="s">
        <v>481</v>
      </c>
    </row>
    <row r="217" spans="1:30" ht="56.25" x14ac:dyDescent="0.2">
      <c r="A217" s="1" t="s">
        <v>16</v>
      </c>
      <c r="B217" s="1" t="s">
        <v>447</v>
      </c>
      <c r="C217" s="5" t="s">
        <v>587</v>
      </c>
      <c r="D217" s="1" t="s">
        <v>12</v>
      </c>
      <c r="E217" s="11">
        <v>42.6</v>
      </c>
      <c r="F217" s="1" t="s">
        <v>606</v>
      </c>
      <c r="G217" s="12">
        <v>16891.645753745626</v>
      </c>
      <c r="H217" s="1" t="s">
        <v>12</v>
      </c>
      <c r="I217" s="1" t="s">
        <v>164</v>
      </c>
      <c r="J217" s="26">
        <v>726.68849667999996</v>
      </c>
      <c r="K217" s="26">
        <f t="shared" si="19"/>
        <v>726.68888341000002</v>
      </c>
      <c r="L217" s="1">
        <v>0</v>
      </c>
      <c r="M217" s="1">
        <v>0</v>
      </c>
      <c r="N217" s="26">
        <v>2.330049E-2</v>
      </c>
      <c r="O217" s="26">
        <v>6.9814259200000004</v>
      </c>
      <c r="P217" s="26">
        <v>0</v>
      </c>
      <c r="Q217" s="26">
        <v>56.02617145</v>
      </c>
      <c r="R217" s="26">
        <v>663.65798555000003</v>
      </c>
      <c r="S217" s="1">
        <v>0</v>
      </c>
      <c r="T217" s="1">
        <v>0</v>
      </c>
      <c r="U217" s="1">
        <v>0</v>
      </c>
      <c r="V217" s="33" t="s">
        <v>479</v>
      </c>
      <c r="W217" s="1">
        <v>2024</v>
      </c>
      <c r="X217" s="40">
        <v>2027</v>
      </c>
      <c r="Y217" s="1">
        <v>63.027014450000003</v>
      </c>
      <c r="Z217" s="40">
        <v>2027</v>
      </c>
      <c r="AA217" s="1">
        <v>2028</v>
      </c>
      <c r="AB217" s="1">
        <v>663.66148222000004</v>
      </c>
      <c r="AC217" s="1">
        <v>2029</v>
      </c>
      <c r="AD217" s="1" t="s">
        <v>481</v>
      </c>
    </row>
    <row r="218" spans="1:30" ht="56.25" x14ac:dyDescent="0.2">
      <c r="A218" s="1" t="s">
        <v>16</v>
      </c>
      <c r="B218" s="1" t="s">
        <v>448</v>
      </c>
      <c r="C218" s="5" t="s">
        <v>587</v>
      </c>
      <c r="D218" s="1" t="s">
        <v>12</v>
      </c>
      <c r="E218" s="11">
        <v>28.4</v>
      </c>
      <c r="F218" s="1" t="s">
        <v>606</v>
      </c>
      <c r="G218" s="12" t="s">
        <v>606</v>
      </c>
      <c r="H218" s="1" t="s">
        <v>12</v>
      </c>
      <c r="I218" s="1" t="s">
        <v>164</v>
      </c>
      <c r="J218" s="26">
        <v>473.33687366999999</v>
      </c>
      <c r="K218" s="26">
        <f t="shared" si="19"/>
        <v>473.33721674000003</v>
      </c>
      <c r="L218" s="1">
        <v>0</v>
      </c>
      <c r="M218" s="1">
        <v>0</v>
      </c>
      <c r="N218" s="26">
        <v>2.3300440000000002E-2</v>
      </c>
      <c r="O218" s="26">
        <v>4.6475925900000004</v>
      </c>
      <c r="P218" s="26">
        <v>0</v>
      </c>
      <c r="Q218" s="26">
        <v>37.355518070000002</v>
      </c>
      <c r="R218" s="26">
        <v>431.31080564000001</v>
      </c>
      <c r="S218" s="1">
        <v>0</v>
      </c>
      <c r="T218" s="1">
        <v>0</v>
      </c>
      <c r="U218" s="1">
        <v>0</v>
      </c>
      <c r="V218" s="33" t="s">
        <v>479</v>
      </c>
      <c r="W218" s="1">
        <v>2024</v>
      </c>
      <c r="X218" s="40">
        <v>2027</v>
      </c>
      <c r="Y218" s="1">
        <v>42.022527690000004</v>
      </c>
      <c r="Z218" s="40">
        <v>2027</v>
      </c>
      <c r="AA218" s="1">
        <v>2028</v>
      </c>
      <c r="AB218" s="1">
        <v>431.31434597999993</v>
      </c>
      <c r="AC218" s="1">
        <v>2029</v>
      </c>
      <c r="AD218" s="1" t="s">
        <v>481</v>
      </c>
    </row>
    <row r="219" spans="1:30" ht="56.25" x14ac:dyDescent="0.2">
      <c r="A219" s="1" t="s">
        <v>16</v>
      </c>
      <c r="B219" s="1" t="s">
        <v>449</v>
      </c>
      <c r="C219" s="5" t="s">
        <v>588</v>
      </c>
      <c r="D219" s="1" t="s">
        <v>12</v>
      </c>
      <c r="E219" s="11">
        <v>54.2</v>
      </c>
      <c r="F219" s="1" t="s">
        <v>606</v>
      </c>
      <c r="G219" s="12">
        <v>6884.0798630063719</v>
      </c>
      <c r="H219" s="1" t="s">
        <v>12</v>
      </c>
      <c r="I219" s="1" t="s">
        <v>164</v>
      </c>
      <c r="J219" s="26">
        <v>1109.46924859</v>
      </c>
      <c r="K219" s="26">
        <f t="shared" si="19"/>
        <v>1109.4692500100002</v>
      </c>
      <c r="L219" s="1">
        <v>0</v>
      </c>
      <c r="M219" s="1">
        <v>0</v>
      </c>
      <c r="N219" s="26">
        <v>3.560369E-2</v>
      </c>
      <c r="O219" s="26">
        <v>26.815148140000002</v>
      </c>
      <c r="P219" s="26">
        <v>53.688831159999999</v>
      </c>
      <c r="Q219" s="26">
        <v>1028.9296670200001</v>
      </c>
      <c r="R219" s="26">
        <v>0</v>
      </c>
      <c r="S219" s="1">
        <v>0</v>
      </c>
      <c r="T219" s="1">
        <v>0</v>
      </c>
      <c r="U219" s="1">
        <v>0</v>
      </c>
      <c r="V219" s="33" t="s">
        <v>479</v>
      </c>
      <c r="W219" s="1">
        <v>2024</v>
      </c>
      <c r="X219" s="40">
        <v>2026</v>
      </c>
      <c r="Y219" s="1">
        <v>80.539581569999996</v>
      </c>
      <c r="Z219" s="1">
        <v>2026</v>
      </c>
      <c r="AA219" s="1">
        <v>2027</v>
      </c>
      <c r="AB219" s="1">
        <v>1028.93898365</v>
      </c>
      <c r="AC219" s="1">
        <v>2028</v>
      </c>
      <c r="AD219" s="1" t="s">
        <v>481</v>
      </c>
    </row>
    <row r="220" spans="1:30" ht="56.25" x14ac:dyDescent="0.2">
      <c r="A220" s="1" t="s">
        <v>16</v>
      </c>
      <c r="B220" s="1" t="s">
        <v>450</v>
      </c>
      <c r="C220" s="5" t="s">
        <v>589</v>
      </c>
      <c r="D220" s="1" t="s">
        <v>12</v>
      </c>
      <c r="E220" s="11">
        <v>58.533000000000001</v>
      </c>
      <c r="F220" s="1" t="s">
        <v>606</v>
      </c>
      <c r="G220" s="12">
        <v>5072.565989114566</v>
      </c>
      <c r="H220" s="1" t="s">
        <v>12</v>
      </c>
      <c r="I220" s="1" t="s">
        <v>164</v>
      </c>
      <c r="J220" s="26">
        <v>1126.26735934</v>
      </c>
      <c r="K220" s="26">
        <f t="shared" si="19"/>
        <v>1126.26735934</v>
      </c>
      <c r="L220" s="1">
        <v>0</v>
      </c>
      <c r="M220" s="1">
        <v>0.15393563000000002</v>
      </c>
      <c r="N220" s="26">
        <v>29.11502763</v>
      </c>
      <c r="O220" s="26">
        <v>54.143092689999996</v>
      </c>
      <c r="P220" s="26">
        <v>5.2638070199999998</v>
      </c>
      <c r="Q220" s="26">
        <v>1037.59149637</v>
      </c>
      <c r="R220" s="26">
        <v>0</v>
      </c>
      <c r="S220" s="1">
        <v>0</v>
      </c>
      <c r="T220" s="1">
        <v>0</v>
      </c>
      <c r="U220" s="1">
        <v>0</v>
      </c>
      <c r="V220" s="33" t="s">
        <v>479</v>
      </c>
      <c r="W220" s="1">
        <v>2023</v>
      </c>
      <c r="X220" s="40">
        <v>2026</v>
      </c>
      <c r="Y220" s="1">
        <v>88.675862969999997</v>
      </c>
      <c r="Z220" s="40">
        <v>2026</v>
      </c>
      <c r="AA220" s="1">
        <v>2027</v>
      </c>
      <c r="AB220" s="1">
        <v>1037.58644497</v>
      </c>
      <c r="AC220" s="1">
        <v>2028</v>
      </c>
      <c r="AD220" s="1" t="s">
        <v>481</v>
      </c>
    </row>
    <row r="221" spans="1:30" ht="56.25" x14ac:dyDescent="0.2">
      <c r="A221" s="1" t="s">
        <v>16</v>
      </c>
      <c r="B221" s="1" t="s">
        <v>451</v>
      </c>
      <c r="C221" s="5" t="s">
        <v>590</v>
      </c>
      <c r="D221" s="1" t="s">
        <v>12</v>
      </c>
      <c r="E221" s="11">
        <v>12</v>
      </c>
      <c r="F221" s="1" t="s">
        <v>606</v>
      </c>
      <c r="G221" s="12">
        <v>4167.6058237490133</v>
      </c>
      <c r="H221" s="1" t="s">
        <v>12</v>
      </c>
      <c r="I221" s="1" t="s">
        <v>164</v>
      </c>
      <c r="J221" s="26">
        <v>498.23626231999992</v>
      </c>
      <c r="K221" s="26">
        <f t="shared" si="19"/>
        <v>498.23626232999999</v>
      </c>
      <c r="L221" s="1">
        <v>0</v>
      </c>
      <c r="M221" s="1">
        <v>6.8046600000000013E-2</v>
      </c>
      <c r="N221" s="26">
        <v>35.493321430000002</v>
      </c>
      <c r="O221" s="26">
        <v>0</v>
      </c>
      <c r="P221" s="26">
        <v>462.67489430000001</v>
      </c>
      <c r="Q221" s="26">
        <v>0</v>
      </c>
      <c r="R221" s="26">
        <v>0</v>
      </c>
      <c r="S221" s="1">
        <v>0</v>
      </c>
      <c r="T221" s="1">
        <v>0</v>
      </c>
      <c r="U221" s="1">
        <v>0</v>
      </c>
      <c r="V221" s="33" t="s">
        <v>479</v>
      </c>
      <c r="W221" s="1">
        <v>2023</v>
      </c>
      <c r="X221" s="40">
        <v>2025</v>
      </c>
      <c r="Y221" s="1">
        <v>39.138428029999993</v>
      </c>
      <c r="Z221" s="1">
        <v>2025</v>
      </c>
      <c r="AA221" s="1">
        <v>2026</v>
      </c>
      <c r="AB221" s="1">
        <v>459.09658156000006</v>
      </c>
      <c r="AC221" s="1">
        <v>2027</v>
      </c>
      <c r="AD221" s="1" t="s">
        <v>481</v>
      </c>
    </row>
    <row r="222" spans="1:30" ht="45" x14ac:dyDescent="0.2">
      <c r="A222" s="1" t="s">
        <v>16</v>
      </c>
      <c r="B222" s="1" t="s">
        <v>452</v>
      </c>
      <c r="C222" s="5" t="s">
        <v>591</v>
      </c>
      <c r="D222" s="1" t="s">
        <v>12</v>
      </c>
      <c r="E222" s="11">
        <v>5</v>
      </c>
      <c r="F222" s="1" t="s">
        <v>606</v>
      </c>
      <c r="G222" s="12">
        <v>542.42496417540031</v>
      </c>
      <c r="H222" s="1" t="s">
        <v>12</v>
      </c>
      <c r="I222" s="1" t="s">
        <v>164</v>
      </c>
      <c r="J222" s="26">
        <v>79.388062040000008</v>
      </c>
      <c r="K222" s="26">
        <f t="shared" si="19"/>
        <v>79.38806203</v>
      </c>
      <c r="L222" s="1">
        <v>0</v>
      </c>
      <c r="M222" s="1">
        <v>7.5429369999999996E-2</v>
      </c>
      <c r="N222" s="26">
        <v>15.01995016</v>
      </c>
      <c r="O222" s="26">
        <v>30.523858010000001</v>
      </c>
      <c r="P222" s="26">
        <v>33.76882449</v>
      </c>
      <c r="Q222" s="26">
        <v>0</v>
      </c>
      <c r="R222" s="26">
        <v>0</v>
      </c>
      <c r="S222" s="1">
        <v>0</v>
      </c>
      <c r="T222" s="1">
        <v>0</v>
      </c>
      <c r="U222" s="1">
        <v>0</v>
      </c>
      <c r="V222" s="33" t="s">
        <v>479</v>
      </c>
      <c r="W222" s="1">
        <v>2023</v>
      </c>
      <c r="X222" s="40">
        <v>2025</v>
      </c>
      <c r="Y222" s="1">
        <v>45.61923754</v>
      </c>
      <c r="Z222" s="1">
        <v>2025</v>
      </c>
      <c r="AA222" s="1">
        <v>2026</v>
      </c>
      <c r="AB222" s="1">
        <v>33.748894950000107</v>
      </c>
      <c r="AC222" s="1">
        <v>2027</v>
      </c>
      <c r="AD222" s="1" t="s">
        <v>481</v>
      </c>
    </row>
    <row r="223" spans="1:30" ht="45" x14ac:dyDescent="0.2">
      <c r="A223" s="1" t="s">
        <v>16</v>
      </c>
      <c r="B223" s="1" t="s">
        <v>453</v>
      </c>
      <c r="C223" s="5" t="s">
        <v>592</v>
      </c>
      <c r="D223" s="1" t="s">
        <v>12</v>
      </c>
      <c r="E223" s="11">
        <v>4</v>
      </c>
      <c r="F223" s="1" t="s">
        <v>606</v>
      </c>
      <c r="G223" s="12">
        <v>540.4687537638813</v>
      </c>
      <c r="H223" s="1" t="s">
        <v>12</v>
      </c>
      <c r="I223" s="1" t="s">
        <v>164</v>
      </c>
      <c r="J223" s="26">
        <v>63.486455069999998</v>
      </c>
      <c r="K223" s="26">
        <f t="shared" si="19"/>
        <v>63.486455070000005</v>
      </c>
      <c r="L223" s="1">
        <v>0</v>
      </c>
      <c r="M223" s="1">
        <v>1.6374159999999999E-2</v>
      </c>
      <c r="N223" s="26">
        <v>10.036670209999999</v>
      </c>
      <c r="O223" s="26">
        <v>0</v>
      </c>
      <c r="P223" s="26">
        <v>53.433410700000003</v>
      </c>
      <c r="Q223" s="26">
        <v>0</v>
      </c>
      <c r="R223" s="26">
        <v>0</v>
      </c>
      <c r="S223" s="1">
        <v>0</v>
      </c>
      <c r="T223" s="1">
        <v>0</v>
      </c>
      <c r="U223" s="1">
        <v>0</v>
      </c>
      <c r="V223" s="33" t="s">
        <v>479</v>
      </c>
      <c r="W223" s="1">
        <v>2023</v>
      </c>
      <c r="X223" s="40">
        <v>2025</v>
      </c>
      <c r="Y223" s="1">
        <v>10.05304437</v>
      </c>
      <c r="Z223" s="1">
        <v>2025</v>
      </c>
      <c r="AA223" s="1">
        <v>2026</v>
      </c>
      <c r="AB223" s="1">
        <v>53.432209489999991</v>
      </c>
      <c r="AC223" s="1">
        <v>2027</v>
      </c>
      <c r="AD223" s="1" t="s">
        <v>481</v>
      </c>
    </row>
    <row r="224" spans="1:30" ht="56.25" x14ac:dyDescent="0.2">
      <c r="A224" s="1" t="s">
        <v>16</v>
      </c>
      <c r="B224" s="1" t="s">
        <v>454</v>
      </c>
      <c r="C224" s="5" t="s">
        <v>593</v>
      </c>
      <c r="D224" s="1" t="s">
        <v>12</v>
      </c>
      <c r="E224" s="11">
        <v>8</v>
      </c>
      <c r="F224" s="1" t="s">
        <v>606</v>
      </c>
      <c r="G224" s="12">
        <v>685.32194680535713</v>
      </c>
      <c r="H224" s="1" t="s">
        <v>12</v>
      </c>
      <c r="I224" s="1" t="s">
        <v>164</v>
      </c>
      <c r="J224" s="26">
        <v>118.68250406999999</v>
      </c>
      <c r="K224" s="26">
        <f t="shared" si="19"/>
        <v>118.68250407000001</v>
      </c>
      <c r="L224" s="1">
        <v>0</v>
      </c>
      <c r="M224" s="1">
        <v>2.1320259999999997E-2</v>
      </c>
      <c r="N224" s="26">
        <v>3.3338094899999997</v>
      </c>
      <c r="O224" s="26">
        <v>6.8336056000000003</v>
      </c>
      <c r="P224" s="26">
        <v>108.49376872000001</v>
      </c>
      <c r="Q224" s="26">
        <v>0</v>
      </c>
      <c r="R224" s="26">
        <v>0</v>
      </c>
      <c r="S224" s="1">
        <v>0</v>
      </c>
      <c r="T224" s="1">
        <v>0</v>
      </c>
      <c r="U224" s="1">
        <v>0</v>
      </c>
      <c r="V224" s="33" t="s">
        <v>479</v>
      </c>
      <c r="W224" s="1">
        <v>2023</v>
      </c>
      <c r="X224" s="40">
        <v>2025</v>
      </c>
      <c r="Y224" s="1">
        <v>10.090837070000001</v>
      </c>
      <c r="Z224" s="1">
        <v>2025</v>
      </c>
      <c r="AA224" s="1">
        <v>2026</v>
      </c>
      <c r="AB224" s="1">
        <v>108.59056403302399</v>
      </c>
      <c r="AC224" s="1">
        <v>2027</v>
      </c>
      <c r="AD224" s="1" t="s">
        <v>481</v>
      </c>
    </row>
    <row r="225" spans="1:30" ht="45" x14ac:dyDescent="0.2">
      <c r="A225" s="1" t="s">
        <v>16</v>
      </c>
      <c r="B225" s="1" t="s">
        <v>455</v>
      </c>
      <c r="C225" s="5" t="s">
        <v>594</v>
      </c>
      <c r="D225" s="1" t="s">
        <v>12</v>
      </c>
      <c r="E225" s="11">
        <v>1.9</v>
      </c>
      <c r="F225" s="1" t="s">
        <v>606</v>
      </c>
      <c r="G225" s="12">
        <v>36.442942183953591</v>
      </c>
      <c r="H225" s="1" t="s">
        <v>12</v>
      </c>
      <c r="I225" s="1" t="s">
        <v>164</v>
      </c>
      <c r="J225" s="26">
        <v>30.158252229999999</v>
      </c>
      <c r="K225" s="26">
        <f t="shared" si="19"/>
        <v>30.158252209999997</v>
      </c>
      <c r="L225" s="1">
        <v>0</v>
      </c>
      <c r="M225" s="1">
        <v>8.9458300000000001E-3</v>
      </c>
      <c r="N225" s="26">
        <v>6.54520838</v>
      </c>
      <c r="O225" s="26">
        <v>0</v>
      </c>
      <c r="P225" s="26">
        <v>23.604097999999997</v>
      </c>
      <c r="Q225" s="26">
        <v>0</v>
      </c>
      <c r="R225" s="26">
        <v>0</v>
      </c>
      <c r="S225" s="1">
        <v>0</v>
      </c>
      <c r="T225" s="1">
        <v>0</v>
      </c>
      <c r="U225" s="1">
        <v>0</v>
      </c>
      <c r="V225" s="33" t="s">
        <v>479</v>
      </c>
      <c r="W225" s="1">
        <v>2023</v>
      </c>
      <c r="X225" s="40">
        <v>2025</v>
      </c>
      <c r="Y225" s="1">
        <v>6.5541542100000001</v>
      </c>
      <c r="Z225" s="1">
        <v>2025</v>
      </c>
      <c r="AA225" s="1">
        <v>2026</v>
      </c>
      <c r="AB225" s="1">
        <v>23.60241933</v>
      </c>
      <c r="AC225" s="1">
        <v>2027</v>
      </c>
      <c r="AD225" s="1" t="s">
        <v>481</v>
      </c>
    </row>
    <row r="226" spans="1:30" ht="56.25" x14ac:dyDescent="0.2">
      <c r="A226" s="1" t="s">
        <v>16</v>
      </c>
      <c r="B226" s="1" t="s">
        <v>456</v>
      </c>
      <c r="C226" s="5" t="s">
        <v>595</v>
      </c>
      <c r="D226" s="1" t="s">
        <v>12</v>
      </c>
      <c r="E226" s="11">
        <v>43.8</v>
      </c>
      <c r="F226" s="1" t="s">
        <v>606</v>
      </c>
      <c r="G226" s="12">
        <v>2246.3104079167838</v>
      </c>
      <c r="H226" s="1" t="s">
        <v>12</v>
      </c>
      <c r="I226" s="1" t="s">
        <v>164</v>
      </c>
      <c r="J226" s="26">
        <v>671.56602311999995</v>
      </c>
      <c r="K226" s="26">
        <f t="shared" si="19"/>
        <v>671.56602311999995</v>
      </c>
      <c r="L226" s="1">
        <v>0</v>
      </c>
      <c r="M226" s="1">
        <v>0.11519683</v>
      </c>
      <c r="N226" s="26">
        <v>29.030570659999995</v>
      </c>
      <c r="O226" s="26">
        <v>59.739223010000003</v>
      </c>
      <c r="P226" s="26">
        <v>582.68103262</v>
      </c>
      <c r="Q226" s="26">
        <v>0</v>
      </c>
      <c r="R226" s="26">
        <v>0</v>
      </c>
      <c r="S226" s="1">
        <v>0</v>
      </c>
      <c r="T226" s="1">
        <v>0</v>
      </c>
      <c r="U226" s="1">
        <v>0</v>
      </c>
      <c r="V226" s="33" t="s">
        <v>479</v>
      </c>
      <c r="W226" s="1">
        <v>2023</v>
      </c>
      <c r="X226" s="40">
        <v>2025</v>
      </c>
      <c r="Y226" s="1">
        <v>88.183082429999999</v>
      </c>
      <c r="Z226" s="1">
        <v>2025</v>
      </c>
      <c r="AA226" s="1">
        <v>2026</v>
      </c>
      <c r="AB226" s="1">
        <v>583.37799056000006</v>
      </c>
      <c r="AC226" s="1">
        <v>2027</v>
      </c>
      <c r="AD226" s="1" t="s">
        <v>481</v>
      </c>
    </row>
    <row r="227" spans="1:30" ht="45" x14ac:dyDescent="0.2">
      <c r="A227" s="1" t="s">
        <v>16</v>
      </c>
      <c r="B227" s="1" t="s">
        <v>457</v>
      </c>
      <c r="C227" s="5" t="s">
        <v>596</v>
      </c>
      <c r="D227" s="1" t="s">
        <v>12</v>
      </c>
      <c r="E227" s="11">
        <v>5.8</v>
      </c>
      <c r="F227" s="1" t="s">
        <v>606</v>
      </c>
      <c r="G227" s="12">
        <v>447.81307680206191</v>
      </c>
      <c r="H227" s="1" t="s">
        <v>12</v>
      </c>
      <c r="I227" s="1" t="s">
        <v>164</v>
      </c>
      <c r="J227" s="26">
        <v>101.98003771</v>
      </c>
      <c r="K227" s="26">
        <f t="shared" si="19"/>
        <v>101.98003770999999</v>
      </c>
      <c r="L227" s="1">
        <v>0</v>
      </c>
      <c r="M227" s="1">
        <v>1.82959E-2</v>
      </c>
      <c r="N227" s="26">
        <v>11.229469810000001</v>
      </c>
      <c r="O227" s="26">
        <v>0</v>
      </c>
      <c r="P227" s="26">
        <v>90.732271999999995</v>
      </c>
      <c r="Q227" s="26">
        <v>0</v>
      </c>
      <c r="R227" s="26">
        <v>0</v>
      </c>
      <c r="S227" s="1">
        <v>0</v>
      </c>
      <c r="T227" s="1">
        <v>0</v>
      </c>
      <c r="U227" s="1">
        <v>0</v>
      </c>
      <c r="V227" s="33" t="s">
        <v>479</v>
      </c>
      <c r="W227" s="1">
        <v>2023</v>
      </c>
      <c r="X227" s="40">
        <v>2025</v>
      </c>
      <c r="Y227" s="1">
        <v>11.247765709999999</v>
      </c>
      <c r="Z227" s="1">
        <v>2025</v>
      </c>
      <c r="AA227" s="1">
        <v>2026</v>
      </c>
      <c r="AB227" s="1">
        <v>90.730697070000005</v>
      </c>
      <c r="AC227" s="1">
        <v>2027</v>
      </c>
      <c r="AD227" s="1" t="s">
        <v>481</v>
      </c>
    </row>
    <row r="228" spans="1:30" ht="45" x14ac:dyDescent="0.2">
      <c r="A228" s="1" t="s">
        <v>16</v>
      </c>
      <c r="B228" s="1" t="s">
        <v>458</v>
      </c>
      <c r="C228" s="5" t="s">
        <v>597</v>
      </c>
      <c r="D228" s="1" t="s">
        <v>12</v>
      </c>
      <c r="E228" s="11">
        <v>7.5</v>
      </c>
      <c r="F228" s="1" t="s">
        <v>606</v>
      </c>
      <c r="G228" s="12">
        <v>428.50711847046932</v>
      </c>
      <c r="H228" s="1" t="s">
        <v>12</v>
      </c>
      <c r="I228" s="1" t="s">
        <v>164</v>
      </c>
      <c r="J228" s="26">
        <v>119.03690192000001</v>
      </c>
      <c r="K228" s="26">
        <f t="shared" si="19"/>
        <v>119.03690192000001</v>
      </c>
      <c r="L228" s="1">
        <v>0</v>
      </c>
      <c r="M228" s="1">
        <v>2.6581259999999999E-2</v>
      </c>
      <c r="N228" s="26">
        <v>16.406446839999997</v>
      </c>
      <c r="O228" s="26">
        <v>0</v>
      </c>
      <c r="P228" s="26">
        <v>102.60387382</v>
      </c>
      <c r="Q228" s="26">
        <v>0</v>
      </c>
      <c r="R228" s="26">
        <v>0</v>
      </c>
      <c r="S228" s="1">
        <v>0</v>
      </c>
      <c r="T228" s="1">
        <v>0</v>
      </c>
      <c r="U228" s="1">
        <v>0</v>
      </c>
      <c r="V228" s="33" t="s">
        <v>479</v>
      </c>
      <c r="W228" s="1">
        <v>2023</v>
      </c>
      <c r="X228" s="40">
        <v>2025</v>
      </c>
      <c r="Y228" s="1">
        <v>16.433028099999998</v>
      </c>
      <c r="Z228" s="1">
        <v>2025</v>
      </c>
      <c r="AA228" s="1">
        <v>2026</v>
      </c>
      <c r="AB228" s="1">
        <v>102.59939799</v>
      </c>
      <c r="AC228" s="1">
        <v>2027</v>
      </c>
      <c r="AD228" s="1" t="s">
        <v>481</v>
      </c>
    </row>
    <row r="229" spans="1:30" ht="56.25" x14ac:dyDescent="0.2">
      <c r="A229" s="1" t="s">
        <v>16</v>
      </c>
      <c r="B229" s="1" t="s">
        <v>459</v>
      </c>
      <c r="C229" s="5" t="s">
        <v>598</v>
      </c>
      <c r="D229" s="1" t="s">
        <v>12</v>
      </c>
      <c r="E229" s="11">
        <v>11.5</v>
      </c>
      <c r="F229" s="1" t="s">
        <v>606</v>
      </c>
      <c r="G229" s="12">
        <v>781.72891361540189</v>
      </c>
      <c r="H229" s="1" t="s">
        <v>12</v>
      </c>
      <c r="I229" s="1" t="s">
        <v>164</v>
      </c>
      <c r="J229" s="26">
        <v>182.52146385</v>
      </c>
      <c r="K229" s="26">
        <f t="shared" si="19"/>
        <v>182.52146385</v>
      </c>
      <c r="L229" s="1">
        <v>0</v>
      </c>
      <c r="M229" s="1">
        <v>6.1073050000000004E-2</v>
      </c>
      <c r="N229" s="26">
        <v>12.70963179</v>
      </c>
      <c r="O229" s="26">
        <v>26.148409839999999</v>
      </c>
      <c r="P229" s="26">
        <v>143.60234917</v>
      </c>
      <c r="Q229" s="26">
        <v>0</v>
      </c>
      <c r="R229" s="26">
        <v>0</v>
      </c>
      <c r="S229" s="1">
        <v>0</v>
      </c>
      <c r="T229" s="1">
        <v>0</v>
      </c>
      <c r="U229" s="1">
        <v>0</v>
      </c>
      <c r="V229" s="33" t="s">
        <v>479</v>
      </c>
      <c r="W229" s="1">
        <v>2023</v>
      </c>
      <c r="X229" s="40">
        <v>2025</v>
      </c>
      <c r="Y229" s="1">
        <v>38.6007721</v>
      </c>
      <c r="Z229" s="1">
        <v>2025</v>
      </c>
      <c r="AA229" s="1">
        <v>2026</v>
      </c>
      <c r="AB229" s="1">
        <v>143.91937926</v>
      </c>
      <c r="AC229" s="1">
        <v>2027</v>
      </c>
      <c r="AD229" s="1" t="s">
        <v>481</v>
      </c>
    </row>
    <row r="230" spans="1:30" ht="45" x14ac:dyDescent="0.2">
      <c r="A230" s="1" t="s">
        <v>16</v>
      </c>
      <c r="B230" s="1" t="s">
        <v>460</v>
      </c>
      <c r="C230" s="5" t="s">
        <v>599</v>
      </c>
      <c r="D230" s="1" t="s">
        <v>12</v>
      </c>
      <c r="E230" s="11">
        <v>7.5</v>
      </c>
      <c r="F230" s="1" t="s">
        <v>606</v>
      </c>
      <c r="G230" s="12">
        <v>207.48233048287145</v>
      </c>
      <c r="H230" s="1" t="s">
        <v>12</v>
      </c>
      <c r="I230" s="1" t="s">
        <v>164</v>
      </c>
      <c r="J230" s="26">
        <v>119.03644962</v>
      </c>
      <c r="K230" s="26">
        <f t="shared" si="19"/>
        <v>119.03644962</v>
      </c>
      <c r="L230" s="1">
        <v>0</v>
      </c>
      <c r="M230" s="1">
        <v>4.2236849999999999E-2</v>
      </c>
      <c r="N230" s="26">
        <v>2.6460849999999998E-2</v>
      </c>
      <c r="O230" s="26">
        <v>25.599575550000001</v>
      </c>
      <c r="P230" s="26">
        <v>93.36817637</v>
      </c>
      <c r="Q230" s="26">
        <v>0</v>
      </c>
      <c r="R230" s="26">
        <v>0</v>
      </c>
      <c r="S230" s="1">
        <v>0</v>
      </c>
      <c r="T230" s="1">
        <v>0</v>
      </c>
      <c r="U230" s="1">
        <v>0</v>
      </c>
      <c r="V230" s="33" t="s">
        <v>479</v>
      </c>
      <c r="W230" s="1">
        <v>2023</v>
      </c>
      <c r="X230" s="40">
        <v>2025</v>
      </c>
      <c r="Y230" s="1">
        <v>25.668273249999999</v>
      </c>
      <c r="Z230" s="1">
        <v>2025</v>
      </c>
      <c r="AA230" s="1">
        <v>2026</v>
      </c>
      <c r="AB230" s="1">
        <v>93.367679629999998</v>
      </c>
      <c r="AC230" s="1">
        <v>2027</v>
      </c>
      <c r="AD230" s="1" t="s">
        <v>481</v>
      </c>
    </row>
    <row r="231" spans="1:30" ht="45" x14ac:dyDescent="0.2">
      <c r="A231" s="1" t="s">
        <v>16</v>
      </c>
      <c r="B231" s="1" t="s">
        <v>461</v>
      </c>
      <c r="C231" s="5" t="s">
        <v>600</v>
      </c>
      <c r="D231" s="1" t="s">
        <v>12</v>
      </c>
      <c r="E231" s="11">
        <v>5.0999999999999996</v>
      </c>
      <c r="F231" s="1" t="s">
        <v>606</v>
      </c>
      <c r="G231" s="12">
        <v>629.6042140820274</v>
      </c>
      <c r="H231" s="1" t="s">
        <v>12</v>
      </c>
      <c r="I231" s="1" t="s">
        <v>164</v>
      </c>
      <c r="J231" s="26">
        <v>80.946125379999998</v>
      </c>
      <c r="K231" s="26">
        <f t="shared" si="19"/>
        <v>80.946125330000001</v>
      </c>
      <c r="L231" s="1">
        <v>0</v>
      </c>
      <c r="M231" s="1">
        <v>1.8310299999999998E-2</v>
      </c>
      <c r="N231" s="26">
        <v>17.035191490000003</v>
      </c>
      <c r="O231" s="26">
        <v>0</v>
      </c>
      <c r="P231" s="26">
        <v>63.892623540000002</v>
      </c>
      <c r="Q231" s="26">
        <v>0</v>
      </c>
      <c r="R231" s="26">
        <v>0</v>
      </c>
      <c r="S231" s="1">
        <v>0</v>
      </c>
      <c r="T231" s="1">
        <v>0</v>
      </c>
      <c r="U231" s="1">
        <v>0</v>
      </c>
      <c r="V231" s="33" t="s">
        <v>479</v>
      </c>
      <c r="W231" s="1">
        <v>2023</v>
      </c>
      <c r="X231" s="40">
        <v>2025</v>
      </c>
      <c r="Y231" s="1">
        <v>17.053501790000002</v>
      </c>
      <c r="Z231" s="1">
        <v>2025</v>
      </c>
      <c r="AA231" s="1">
        <v>2026</v>
      </c>
      <c r="AB231" s="1">
        <v>63.889436899999993</v>
      </c>
      <c r="AC231" s="1">
        <v>2027</v>
      </c>
      <c r="AD231" s="1" t="s">
        <v>481</v>
      </c>
    </row>
    <row r="232" spans="1:30" ht="45" x14ac:dyDescent="0.2">
      <c r="A232" s="1" t="s">
        <v>16</v>
      </c>
      <c r="B232" s="1" t="s">
        <v>462</v>
      </c>
      <c r="C232" s="5" t="s">
        <v>601</v>
      </c>
      <c r="D232" s="1" t="s">
        <v>12</v>
      </c>
      <c r="E232" s="11">
        <v>2.5</v>
      </c>
      <c r="F232" s="1" t="s">
        <v>606</v>
      </c>
      <c r="G232" s="12">
        <v>235.58757496413892</v>
      </c>
      <c r="H232" s="1" t="s">
        <v>12</v>
      </c>
      <c r="I232" s="1" t="s">
        <v>164</v>
      </c>
      <c r="J232" s="26">
        <v>39.678374490000003</v>
      </c>
      <c r="K232" s="26">
        <f t="shared" si="19"/>
        <v>39.678374489999996</v>
      </c>
      <c r="L232" s="1">
        <v>0</v>
      </c>
      <c r="M232" s="1">
        <v>8.4375499999999985E-3</v>
      </c>
      <c r="N232" s="26">
        <v>5.3122880099999996</v>
      </c>
      <c r="O232" s="26">
        <v>0</v>
      </c>
      <c r="P232" s="26">
        <v>34.357648929999996</v>
      </c>
      <c r="Q232" s="26">
        <v>0</v>
      </c>
      <c r="R232" s="26">
        <v>0</v>
      </c>
      <c r="S232" s="1">
        <v>0</v>
      </c>
      <c r="T232" s="1">
        <v>0</v>
      </c>
      <c r="U232" s="1">
        <v>0</v>
      </c>
      <c r="V232" s="33" t="s">
        <v>479</v>
      </c>
      <c r="W232" s="1">
        <v>2023</v>
      </c>
      <c r="X232" s="40">
        <v>2025</v>
      </c>
      <c r="Y232" s="1">
        <v>5.3207255600000005</v>
      </c>
      <c r="Z232" s="1">
        <v>2025</v>
      </c>
      <c r="AA232" s="1">
        <v>2026</v>
      </c>
      <c r="AB232" s="1">
        <v>34.357714760000007</v>
      </c>
      <c r="AC232" s="1">
        <v>2027</v>
      </c>
      <c r="AD232" s="1" t="s">
        <v>481</v>
      </c>
    </row>
    <row r="233" spans="1:30" ht="56.25" x14ac:dyDescent="0.2">
      <c r="A233" s="1" t="s">
        <v>16</v>
      </c>
      <c r="B233" s="1" t="s">
        <v>463</v>
      </c>
      <c r="C233" s="5" t="s">
        <v>602</v>
      </c>
      <c r="D233" s="1" t="s">
        <v>12</v>
      </c>
      <c r="E233" s="11">
        <v>2.57</v>
      </c>
      <c r="F233" s="1" t="s">
        <v>606</v>
      </c>
      <c r="G233" s="12">
        <v>57.835545111557131</v>
      </c>
      <c r="H233" s="1" t="s">
        <v>12</v>
      </c>
      <c r="I233" s="1" t="s">
        <v>164</v>
      </c>
      <c r="J233" s="26">
        <v>40.788069999999998</v>
      </c>
      <c r="K233" s="26">
        <f t="shared" si="19"/>
        <v>40.788069990000004</v>
      </c>
      <c r="L233" s="1">
        <v>0</v>
      </c>
      <c r="M233" s="1">
        <v>0</v>
      </c>
      <c r="N233" s="26">
        <v>1.085998E-2</v>
      </c>
      <c r="O233" s="26">
        <v>3.3335521399999997</v>
      </c>
      <c r="P233" s="26">
        <v>0.20816514999999999</v>
      </c>
      <c r="Q233" s="26">
        <v>37.235492720000003</v>
      </c>
      <c r="R233" s="26">
        <v>0</v>
      </c>
      <c r="S233" s="1">
        <v>0</v>
      </c>
      <c r="T233" s="1">
        <v>0</v>
      </c>
      <c r="U233" s="1">
        <v>0</v>
      </c>
      <c r="V233" s="33" t="s">
        <v>479</v>
      </c>
      <c r="W233" s="1">
        <v>2024</v>
      </c>
      <c r="X233" s="40">
        <v>2026</v>
      </c>
      <c r="Y233" s="1">
        <v>3.3534621099999997</v>
      </c>
      <c r="Z233" s="1">
        <v>2026</v>
      </c>
      <c r="AA233" s="1">
        <v>2027</v>
      </c>
      <c r="AB233" s="1">
        <v>37.434092229999997</v>
      </c>
      <c r="AC233" s="1">
        <v>2028</v>
      </c>
      <c r="AD233" s="1" t="s">
        <v>481</v>
      </c>
    </row>
    <row r="234" spans="1:30" x14ac:dyDescent="0.2">
      <c r="A234" s="4" t="s">
        <v>16</v>
      </c>
      <c r="B234" s="62" t="s">
        <v>17</v>
      </c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:30" ht="22.5" x14ac:dyDescent="0.2">
      <c r="A235" s="1" t="s">
        <v>16</v>
      </c>
      <c r="B235" s="1" t="s">
        <v>18</v>
      </c>
      <c r="C235" s="5" t="s">
        <v>472</v>
      </c>
      <c r="D235" s="1" t="s">
        <v>12</v>
      </c>
      <c r="E235" s="1" t="s">
        <v>12</v>
      </c>
      <c r="F235" s="1" t="s">
        <v>606</v>
      </c>
      <c r="G235" s="1" t="s">
        <v>606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33" t="s">
        <v>479</v>
      </c>
      <c r="W235" s="1"/>
      <c r="X235" s="1"/>
      <c r="Y235" s="1"/>
      <c r="Z235" s="1"/>
      <c r="AA235" s="1"/>
      <c r="AB235" s="1"/>
      <c r="AC235" s="1"/>
      <c r="AD235" s="1"/>
    </row>
    <row r="236" spans="1:30" ht="33.75" x14ac:dyDescent="0.2">
      <c r="A236" s="1" t="s">
        <v>16</v>
      </c>
      <c r="B236" s="1" t="s">
        <v>476</v>
      </c>
      <c r="C236" s="5" t="s">
        <v>473</v>
      </c>
      <c r="D236" s="1" t="s">
        <v>12</v>
      </c>
      <c r="E236" s="1">
        <v>0.3</v>
      </c>
      <c r="F236" s="1" t="s">
        <v>606</v>
      </c>
      <c r="G236" s="1">
        <v>9855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33" t="s">
        <v>479</v>
      </c>
      <c r="W236" s="1"/>
      <c r="X236" s="1"/>
      <c r="Y236" s="1"/>
      <c r="Z236" s="1"/>
      <c r="AA236" s="1"/>
      <c r="AB236" s="1"/>
      <c r="AC236" s="1"/>
      <c r="AD236" s="1"/>
    </row>
    <row r="237" spans="1:30" ht="22.5" x14ac:dyDescent="0.2">
      <c r="A237" s="1" t="s">
        <v>16</v>
      </c>
      <c r="B237" s="1" t="s">
        <v>477</v>
      </c>
      <c r="C237" s="5" t="s">
        <v>474</v>
      </c>
      <c r="D237" s="1" t="s">
        <v>12</v>
      </c>
      <c r="E237" s="1" t="s">
        <v>12</v>
      </c>
      <c r="F237" s="1" t="s">
        <v>606</v>
      </c>
      <c r="G237" s="1" t="s">
        <v>606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33" t="s">
        <v>479</v>
      </c>
      <c r="W237" s="1"/>
      <c r="X237" s="1"/>
      <c r="Y237" s="1"/>
      <c r="Z237" s="1"/>
      <c r="AA237" s="1"/>
      <c r="AB237" s="1"/>
      <c r="AC237" s="1"/>
      <c r="AD237" s="1"/>
    </row>
    <row r="238" spans="1:30" ht="33.75" x14ac:dyDescent="0.2">
      <c r="A238" s="1" t="s">
        <v>16</v>
      </c>
      <c r="B238" s="1" t="s">
        <v>478</v>
      </c>
      <c r="C238" s="5" t="s">
        <v>475</v>
      </c>
      <c r="D238" s="1" t="s">
        <v>12</v>
      </c>
      <c r="E238" s="7"/>
      <c r="F238" s="1" t="s">
        <v>606</v>
      </c>
      <c r="G238" s="1" t="s">
        <v>606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33" t="s">
        <v>479</v>
      </c>
      <c r="W238" s="1"/>
      <c r="X238" s="1"/>
      <c r="Y238" s="1"/>
      <c r="Z238" s="1"/>
      <c r="AA238" s="1"/>
      <c r="AB238" s="1"/>
      <c r="AC238" s="1"/>
      <c r="AD238" s="1"/>
    </row>
    <row r="239" spans="1:30" x14ac:dyDescent="0.2">
      <c r="A239" s="55" t="s">
        <v>258</v>
      </c>
      <c r="B239" s="55"/>
      <c r="C239" s="59" t="s">
        <v>480</v>
      </c>
      <c r="D239" s="55" t="s">
        <v>31</v>
      </c>
      <c r="E239" s="55" t="s">
        <v>31</v>
      </c>
      <c r="F239" s="55" t="s">
        <v>31</v>
      </c>
      <c r="G239" s="55" t="s">
        <v>31</v>
      </c>
      <c r="H239" s="55" t="s">
        <v>31</v>
      </c>
      <c r="I239" s="2" t="s">
        <v>161</v>
      </c>
      <c r="J239" s="2" t="s">
        <v>31</v>
      </c>
      <c r="K239" s="2">
        <f t="shared" ref="K239:U239" si="21">SUM(K240:K247)</f>
        <v>1366.0241626127834</v>
      </c>
      <c r="L239" s="2">
        <f t="shared" si="21"/>
        <v>212.17650573</v>
      </c>
      <c r="M239" s="2">
        <f t="shared" si="21"/>
        <v>269.01248206999998</v>
      </c>
      <c r="N239" s="2">
        <f t="shared" si="21"/>
        <v>218.78733514000001</v>
      </c>
      <c r="O239" s="2">
        <f t="shared" si="21"/>
        <v>398.26134000278364</v>
      </c>
      <c r="P239" s="2">
        <f t="shared" si="21"/>
        <v>270.74464943999999</v>
      </c>
      <c r="Q239" s="2">
        <f t="shared" si="21"/>
        <v>0</v>
      </c>
      <c r="R239" s="2">
        <f t="shared" si="21"/>
        <v>0</v>
      </c>
      <c r="S239" s="2">
        <f t="shared" si="21"/>
        <v>0</v>
      </c>
      <c r="T239" s="2">
        <f t="shared" si="21"/>
        <v>0</v>
      </c>
      <c r="U239" s="2">
        <f t="shared" si="21"/>
        <v>0</v>
      </c>
      <c r="V239" s="55" t="s">
        <v>31</v>
      </c>
      <c r="W239" s="55" t="s">
        <v>31</v>
      </c>
      <c r="X239" s="55" t="s">
        <v>31</v>
      </c>
      <c r="Y239" s="55" t="s">
        <v>31</v>
      </c>
      <c r="Z239" s="55" t="s">
        <v>31</v>
      </c>
      <c r="AA239" s="55" t="s">
        <v>31</v>
      </c>
      <c r="AB239" s="55" t="s">
        <v>31</v>
      </c>
      <c r="AC239" s="55" t="s">
        <v>31</v>
      </c>
      <c r="AD239" s="55" t="s">
        <v>31</v>
      </c>
    </row>
    <row r="240" spans="1:30" x14ac:dyDescent="0.2">
      <c r="A240" s="55"/>
      <c r="B240" s="55"/>
      <c r="C240" s="59"/>
      <c r="D240" s="55"/>
      <c r="E240" s="55"/>
      <c r="F240" s="55"/>
      <c r="G240" s="55"/>
      <c r="H240" s="55"/>
      <c r="I240" s="2" t="s">
        <v>166</v>
      </c>
      <c r="J240" s="2" t="s">
        <v>31</v>
      </c>
      <c r="K240" s="2" t="s">
        <v>31</v>
      </c>
      <c r="L240" s="2" t="s">
        <v>31</v>
      </c>
      <c r="M240" s="2" t="s">
        <v>31</v>
      </c>
      <c r="N240" s="2" t="s">
        <v>31</v>
      </c>
      <c r="O240" s="2" t="s">
        <v>31</v>
      </c>
      <c r="P240" s="2" t="s">
        <v>31</v>
      </c>
      <c r="Q240" s="2" t="s">
        <v>31</v>
      </c>
      <c r="R240" s="2" t="s">
        <v>31</v>
      </c>
      <c r="S240" s="2" t="s">
        <v>31</v>
      </c>
      <c r="T240" s="2" t="s">
        <v>31</v>
      </c>
      <c r="U240" s="2" t="s">
        <v>31</v>
      </c>
      <c r="V240" s="55"/>
      <c r="W240" s="55"/>
      <c r="X240" s="55"/>
      <c r="Y240" s="55"/>
      <c r="Z240" s="55"/>
      <c r="AA240" s="55"/>
      <c r="AB240" s="55"/>
      <c r="AC240" s="55"/>
      <c r="AD240" s="55"/>
    </row>
    <row r="241" spans="1:30" x14ac:dyDescent="0.2">
      <c r="A241" s="55"/>
      <c r="B241" s="55"/>
      <c r="C241" s="59"/>
      <c r="D241" s="55"/>
      <c r="E241" s="55"/>
      <c r="F241" s="55"/>
      <c r="G241" s="55"/>
      <c r="H241" s="55"/>
      <c r="I241" s="2" t="s">
        <v>167</v>
      </c>
      <c r="J241" s="2" t="s">
        <v>31</v>
      </c>
      <c r="K241" s="2" t="s">
        <v>31</v>
      </c>
      <c r="L241" s="2" t="s">
        <v>31</v>
      </c>
      <c r="M241" s="2" t="s">
        <v>31</v>
      </c>
      <c r="N241" s="2" t="s">
        <v>31</v>
      </c>
      <c r="O241" s="2" t="s">
        <v>31</v>
      </c>
      <c r="P241" s="2" t="s">
        <v>31</v>
      </c>
      <c r="Q241" s="2" t="s">
        <v>31</v>
      </c>
      <c r="R241" s="2" t="s">
        <v>31</v>
      </c>
      <c r="S241" s="2" t="s">
        <v>31</v>
      </c>
      <c r="T241" s="2" t="s">
        <v>31</v>
      </c>
      <c r="U241" s="2" t="s">
        <v>31</v>
      </c>
      <c r="V241" s="55"/>
      <c r="W241" s="55"/>
      <c r="X241" s="55"/>
      <c r="Y241" s="55"/>
      <c r="Z241" s="55"/>
      <c r="AA241" s="55"/>
      <c r="AB241" s="55"/>
      <c r="AC241" s="55"/>
      <c r="AD241" s="55"/>
    </row>
    <row r="242" spans="1:30" x14ac:dyDescent="0.2">
      <c r="A242" s="55"/>
      <c r="B242" s="55"/>
      <c r="C242" s="59"/>
      <c r="D242" s="55"/>
      <c r="E242" s="55"/>
      <c r="F242" s="55"/>
      <c r="G242" s="55"/>
      <c r="H242" s="55"/>
      <c r="I242" s="2" t="s">
        <v>168</v>
      </c>
      <c r="J242" s="2" t="s">
        <v>31</v>
      </c>
      <c r="K242" s="2" t="s">
        <v>31</v>
      </c>
      <c r="L242" s="2" t="s">
        <v>31</v>
      </c>
      <c r="M242" s="2" t="s">
        <v>31</v>
      </c>
      <c r="N242" s="2" t="s">
        <v>31</v>
      </c>
      <c r="O242" s="2" t="s">
        <v>31</v>
      </c>
      <c r="P242" s="2" t="s">
        <v>31</v>
      </c>
      <c r="Q242" s="2" t="s">
        <v>31</v>
      </c>
      <c r="R242" s="2" t="s">
        <v>31</v>
      </c>
      <c r="S242" s="2" t="s">
        <v>31</v>
      </c>
      <c r="T242" s="2" t="s">
        <v>31</v>
      </c>
      <c r="U242" s="2" t="s">
        <v>31</v>
      </c>
      <c r="V242" s="55"/>
      <c r="W242" s="55"/>
      <c r="X242" s="55"/>
      <c r="Y242" s="55"/>
      <c r="Z242" s="55"/>
      <c r="AA242" s="55"/>
      <c r="AB242" s="55"/>
      <c r="AC242" s="55"/>
      <c r="AD242" s="55"/>
    </row>
    <row r="243" spans="1:30" x14ac:dyDescent="0.2">
      <c r="A243" s="55"/>
      <c r="B243" s="55"/>
      <c r="C243" s="59"/>
      <c r="D243" s="55"/>
      <c r="E243" s="55"/>
      <c r="F243" s="55"/>
      <c r="G243" s="55"/>
      <c r="H243" s="55"/>
      <c r="I243" s="2" t="s">
        <v>165</v>
      </c>
      <c r="J243" s="2" t="s">
        <v>31</v>
      </c>
      <c r="K243" s="2" t="s">
        <v>31</v>
      </c>
      <c r="L243" s="2" t="s">
        <v>31</v>
      </c>
      <c r="M243" s="2" t="s">
        <v>31</v>
      </c>
      <c r="N243" s="2" t="s">
        <v>31</v>
      </c>
      <c r="O243" s="2" t="s">
        <v>31</v>
      </c>
      <c r="P243" s="2" t="s">
        <v>31</v>
      </c>
      <c r="Q243" s="2" t="s">
        <v>31</v>
      </c>
      <c r="R243" s="2" t="s">
        <v>31</v>
      </c>
      <c r="S243" s="2" t="s">
        <v>31</v>
      </c>
      <c r="T243" s="2" t="s">
        <v>31</v>
      </c>
      <c r="U243" s="2" t="s">
        <v>31</v>
      </c>
      <c r="V243" s="55"/>
      <c r="W243" s="55"/>
      <c r="X243" s="55"/>
      <c r="Y243" s="55"/>
      <c r="Z243" s="55"/>
      <c r="AA243" s="55"/>
      <c r="AB243" s="55"/>
      <c r="AC243" s="55"/>
      <c r="AD243" s="55"/>
    </row>
    <row r="244" spans="1:30" x14ac:dyDescent="0.2">
      <c r="A244" s="55"/>
      <c r="B244" s="55"/>
      <c r="C244" s="59"/>
      <c r="D244" s="55"/>
      <c r="E244" s="55"/>
      <c r="F244" s="55"/>
      <c r="G244" s="55"/>
      <c r="H244" s="55"/>
      <c r="I244" s="2" t="s">
        <v>164</v>
      </c>
      <c r="J244" s="2" t="s">
        <v>31</v>
      </c>
      <c r="K244" s="2" t="s">
        <v>31</v>
      </c>
      <c r="L244" s="2" t="s">
        <v>31</v>
      </c>
      <c r="M244" s="2" t="s">
        <v>31</v>
      </c>
      <c r="N244" s="2" t="s">
        <v>31</v>
      </c>
      <c r="O244" s="2" t="s">
        <v>31</v>
      </c>
      <c r="P244" s="2" t="s">
        <v>31</v>
      </c>
      <c r="Q244" s="2" t="s">
        <v>31</v>
      </c>
      <c r="R244" s="2" t="s">
        <v>31</v>
      </c>
      <c r="S244" s="2" t="s">
        <v>31</v>
      </c>
      <c r="T244" s="2" t="s">
        <v>31</v>
      </c>
      <c r="U244" s="2" t="s">
        <v>31</v>
      </c>
      <c r="V244" s="55"/>
      <c r="W244" s="55"/>
      <c r="X244" s="55"/>
      <c r="Y244" s="55"/>
      <c r="Z244" s="55"/>
      <c r="AA244" s="55"/>
      <c r="AB244" s="55"/>
      <c r="AC244" s="55"/>
      <c r="AD244" s="55"/>
    </row>
    <row r="245" spans="1:30" x14ac:dyDescent="0.2">
      <c r="A245" s="55"/>
      <c r="B245" s="55"/>
      <c r="C245" s="59"/>
      <c r="D245" s="55"/>
      <c r="E245" s="55"/>
      <c r="F245" s="55"/>
      <c r="G245" s="55"/>
      <c r="H245" s="55"/>
      <c r="I245" s="2" t="s">
        <v>163</v>
      </c>
      <c r="J245" s="2" t="s">
        <v>31</v>
      </c>
      <c r="K245" s="2" t="s">
        <v>31</v>
      </c>
      <c r="L245" s="2" t="s">
        <v>31</v>
      </c>
      <c r="M245" s="2" t="s">
        <v>31</v>
      </c>
      <c r="N245" s="2" t="s">
        <v>31</v>
      </c>
      <c r="O245" s="2" t="s">
        <v>31</v>
      </c>
      <c r="P245" s="2" t="s">
        <v>31</v>
      </c>
      <c r="Q245" s="2" t="s">
        <v>31</v>
      </c>
      <c r="R245" s="2" t="s">
        <v>31</v>
      </c>
      <c r="S245" s="2" t="s">
        <v>31</v>
      </c>
      <c r="T245" s="2" t="s">
        <v>31</v>
      </c>
      <c r="U245" s="2" t="s">
        <v>31</v>
      </c>
      <c r="V245" s="55"/>
      <c r="W245" s="55"/>
      <c r="X245" s="55"/>
      <c r="Y245" s="55"/>
      <c r="Z245" s="55"/>
      <c r="AA245" s="55"/>
      <c r="AB245" s="55"/>
      <c r="AC245" s="55"/>
      <c r="AD245" s="55"/>
    </row>
    <row r="246" spans="1:30" x14ac:dyDescent="0.2">
      <c r="A246" s="55"/>
      <c r="B246" s="55"/>
      <c r="C246" s="59"/>
      <c r="D246" s="55"/>
      <c r="E246" s="55"/>
      <c r="F246" s="55"/>
      <c r="G246" s="55"/>
      <c r="H246" s="55"/>
      <c r="I246" s="2" t="s">
        <v>144</v>
      </c>
      <c r="J246" s="2" t="s">
        <v>31</v>
      </c>
      <c r="K246" s="2">
        <f t="shared" ref="K246:P246" si="22">SUM(K249:K362,K364,K365)</f>
        <v>1366.0241626127834</v>
      </c>
      <c r="L246" s="2">
        <f t="shared" si="22"/>
        <v>212.17650573</v>
      </c>
      <c r="M246" s="2">
        <f t="shared" si="22"/>
        <v>269.01248206999998</v>
      </c>
      <c r="N246" s="2">
        <f t="shared" si="22"/>
        <v>218.78733514000001</v>
      </c>
      <c r="O246" s="2">
        <f t="shared" si="22"/>
        <v>398.26134000278364</v>
      </c>
      <c r="P246" s="37">
        <f t="shared" si="22"/>
        <v>270.74464943999999</v>
      </c>
      <c r="Q246" s="37">
        <f t="shared" ref="Q246:U246" si="23">SUM(Q249:Q362,Q364,Q365)</f>
        <v>0</v>
      </c>
      <c r="R246" s="37">
        <f t="shared" si="23"/>
        <v>0</v>
      </c>
      <c r="S246" s="37">
        <f t="shared" si="23"/>
        <v>0</v>
      </c>
      <c r="T246" s="37">
        <f t="shared" si="23"/>
        <v>0</v>
      </c>
      <c r="U246" s="37">
        <f t="shared" si="23"/>
        <v>0</v>
      </c>
      <c r="V246" s="55"/>
      <c r="W246" s="55"/>
      <c r="X246" s="55"/>
      <c r="Y246" s="55"/>
      <c r="Z246" s="55"/>
      <c r="AA246" s="55"/>
      <c r="AB246" s="55"/>
      <c r="AC246" s="55"/>
      <c r="AD246" s="55"/>
    </row>
    <row r="247" spans="1:30" x14ac:dyDescent="0.2">
      <c r="A247" s="55"/>
      <c r="B247" s="55"/>
      <c r="C247" s="59"/>
      <c r="D247" s="55"/>
      <c r="E247" s="55"/>
      <c r="F247" s="55"/>
      <c r="G247" s="55"/>
      <c r="H247" s="55"/>
      <c r="I247" s="2" t="s">
        <v>162</v>
      </c>
      <c r="J247" s="2" t="s">
        <v>31</v>
      </c>
      <c r="K247" s="2" t="s">
        <v>31</v>
      </c>
      <c r="L247" s="2" t="s">
        <v>31</v>
      </c>
      <c r="M247" s="2" t="s">
        <v>31</v>
      </c>
      <c r="N247" s="2" t="s">
        <v>31</v>
      </c>
      <c r="O247" s="2" t="s">
        <v>31</v>
      </c>
      <c r="P247" s="2" t="s">
        <v>31</v>
      </c>
      <c r="Q247" s="2" t="s">
        <v>31</v>
      </c>
      <c r="R247" s="2" t="s">
        <v>31</v>
      </c>
      <c r="S247" s="2" t="s">
        <v>31</v>
      </c>
      <c r="T247" s="2" t="s">
        <v>31</v>
      </c>
      <c r="U247" s="2" t="s">
        <v>31</v>
      </c>
      <c r="V247" s="55"/>
      <c r="W247" s="55"/>
      <c r="X247" s="55"/>
      <c r="Y247" s="55"/>
      <c r="Z247" s="55"/>
      <c r="AA247" s="55"/>
      <c r="AB247" s="55"/>
      <c r="AC247" s="55"/>
      <c r="AD247" s="55"/>
    </row>
    <row r="248" spans="1:30" x14ac:dyDescent="0.2">
      <c r="A248" s="4" t="s">
        <v>258</v>
      </c>
      <c r="B248" s="62" t="s">
        <v>11</v>
      </c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:30" ht="33.75" customHeight="1" x14ac:dyDescent="0.2">
      <c r="A249" s="1" t="s">
        <v>258</v>
      </c>
      <c r="B249" s="14" t="s">
        <v>15</v>
      </c>
      <c r="C249" s="13" t="s">
        <v>32</v>
      </c>
      <c r="D249" s="1" t="s">
        <v>31</v>
      </c>
      <c r="E249" s="1">
        <v>1.4999999999999999E-2</v>
      </c>
      <c r="F249" s="1" t="s">
        <v>12</v>
      </c>
      <c r="G249" s="1" t="s">
        <v>12</v>
      </c>
      <c r="H249" s="1" t="s">
        <v>12</v>
      </c>
      <c r="I249" s="14" t="s">
        <v>146</v>
      </c>
      <c r="J249" s="14">
        <v>0.83832741</v>
      </c>
      <c r="K249" s="14">
        <v>0.7688777</v>
      </c>
      <c r="L249" s="14">
        <v>0.7688777</v>
      </c>
      <c r="M249" s="14">
        <v>0</v>
      </c>
      <c r="N249" s="14">
        <v>0</v>
      </c>
      <c r="O249" s="14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32" t="s">
        <v>147</v>
      </c>
      <c r="W249" s="14">
        <v>2021</v>
      </c>
      <c r="X249" s="14">
        <v>2021</v>
      </c>
      <c r="Y249" s="14">
        <v>6.9449710000000012E-2</v>
      </c>
      <c r="Z249" s="14">
        <v>2022</v>
      </c>
      <c r="AA249" s="14">
        <v>2022</v>
      </c>
      <c r="AB249" s="14">
        <v>0.7688777</v>
      </c>
      <c r="AC249" s="14">
        <v>2022</v>
      </c>
      <c r="AD249" s="14" t="s">
        <v>481</v>
      </c>
    </row>
    <row r="250" spans="1:30" ht="78.75" x14ac:dyDescent="0.2">
      <c r="A250" s="1" t="s">
        <v>258</v>
      </c>
      <c r="B250" s="14" t="s">
        <v>349</v>
      </c>
      <c r="C250" s="13" t="s">
        <v>33</v>
      </c>
      <c r="D250" s="1" t="s">
        <v>31</v>
      </c>
      <c r="E250" s="7">
        <v>3.8279999999999998</v>
      </c>
      <c r="F250" s="7">
        <v>401.8</v>
      </c>
      <c r="G250" s="7">
        <v>1081.58</v>
      </c>
      <c r="H250" s="7" t="s">
        <v>12</v>
      </c>
      <c r="I250" s="14" t="s">
        <v>146</v>
      </c>
      <c r="J250" s="14">
        <v>0.10595</v>
      </c>
      <c r="K250" s="14">
        <v>0.10594827999999999</v>
      </c>
      <c r="L250" s="14">
        <v>0.10594827999999999</v>
      </c>
      <c r="M250" s="14">
        <v>0</v>
      </c>
      <c r="N250" s="14">
        <v>0</v>
      </c>
      <c r="O250" s="14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32" t="s">
        <v>613</v>
      </c>
      <c r="W250" s="14">
        <v>2021</v>
      </c>
      <c r="X250" s="14">
        <v>2021</v>
      </c>
      <c r="Y250" s="14">
        <v>0.10595</v>
      </c>
      <c r="Z250" s="14">
        <v>2022</v>
      </c>
      <c r="AA250" s="14">
        <v>2023</v>
      </c>
      <c r="AB250" s="14">
        <v>25.799859999999999</v>
      </c>
      <c r="AC250" s="14">
        <v>2023</v>
      </c>
      <c r="AD250" s="14" t="s">
        <v>481</v>
      </c>
    </row>
    <row r="251" spans="1:30" ht="45" x14ac:dyDescent="0.2">
      <c r="A251" s="1" t="s">
        <v>258</v>
      </c>
      <c r="B251" s="14" t="s">
        <v>350</v>
      </c>
      <c r="C251" s="13" t="s">
        <v>34</v>
      </c>
      <c r="D251" s="1" t="s">
        <v>31</v>
      </c>
      <c r="E251" s="7">
        <v>6.2640000000000002</v>
      </c>
      <c r="F251" s="7">
        <v>419.4</v>
      </c>
      <c r="G251" s="7">
        <v>837.77</v>
      </c>
      <c r="H251" s="7" t="s">
        <v>12</v>
      </c>
      <c r="I251" s="14" t="s">
        <v>146</v>
      </c>
      <c r="J251" s="14">
        <v>43.451085859999999</v>
      </c>
      <c r="K251" s="14">
        <v>43.408806560000002</v>
      </c>
      <c r="L251" s="14">
        <v>1.92353799</v>
      </c>
      <c r="M251" s="14">
        <v>41.485268570000002</v>
      </c>
      <c r="N251" s="14">
        <v>0</v>
      </c>
      <c r="O251" s="14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32" t="s">
        <v>145</v>
      </c>
      <c r="W251" s="14">
        <v>2021</v>
      </c>
      <c r="X251" s="14">
        <v>2021</v>
      </c>
      <c r="Y251" s="14">
        <v>37.322508119999995</v>
      </c>
      <c r="Z251" s="14">
        <v>2022</v>
      </c>
      <c r="AA251" s="14">
        <v>2023</v>
      </c>
      <c r="AB251" s="14">
        <v>6.1285777399999999</v>
      </c>
      <c r="AC251" s="14">
        <v>2023</v>
      </c>
      <c r="AD251" s="14" t="s">
        <v>481</v>
      </c>
    </row>
    <row r="252" spans="1:30" ht="56.25" x14ac:dyDescent="0.2">
      <c r="A252" s="1" t="s">
        <v>258</v>
      </c>
      <c r="B252" s="14" t="s">
        <v>351</v>
      </c>
      <c r="C252" s="13" t="s">
        <v>35</v>
      </c>
      <c r="D252" s="1" t="s">
        <v>31</v>
      </c>
      <c r="E252" s="7">
        <v>2.5000000000000001E-3</v>
      </c>
      <c r="F252" s="7" t="s">
        <v>12</v>
      </c>
      <c r="G252" s="7" t="s">
        <v>12</v>
      </c>
      <c r="H252" s="7" t="s">
        <v>12</v>
      </c>
      <c r="I252" s="14" t="s">
        <v>146</v>
      </c>
      <c r="J252" s="14">
        <v>0.19116038000000002</v>
      </c>
      <c r="K252" s="14">
        <v>0.19116038000000002</v>
      </c>
      <c r="L252" s="14">
        <v>0.12096038000000001</v>
      </c>
      <c r="M252" s="14">
        <v>7.0199999999999999E-2</v>
      </c>
      <c r="N252" s="14">
        <v>0</v>
      </c>
      <c r="O252" s="14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32" t="s">
        <v>147</v>
      </c>
      <c r="W252" s="14">
        <v>2022</v>
      </c>
      <c r="X252" s="14">
        <v>2022</v>
      </c>
      <c r="Y252" s="14">
        <v>0.12096038000000001</v>
      </c>
      <c r="Z252" s="14">
        <v>2023</v>
      </c>
      <c r="AA252" s="14">
        <v>2023</v>
      </c>
      <c r="AB252" s="14">
        <v>7.0200830000000006E-2</v>
      </c>
      <c r="AC252" s="14">
        <v>2023</v>
      </c>
      <c r="AD252" s="14" t="s">
        <v>481</v>
      </c>
    </row>
    <row r="253" spans="1:30" ht="56.25" x14ac:dyDescent="0.2">
      <c r="A253" s="1" t="s">
        <v>258</v>
      </c>
      <c r="B253" s="14" t="s">
        <v>352</v>
      </c>
      <c r="C253" s="13" t="s">
        <v>36</v>
      </c>
      <c r="D253" s="1" t="s">
        <v>31</v>
      </c>
      <c r="E253" s="1" t="s">
        <v>12</v>
      </c>
      <c r="F253" s="1" t="s">
        <v>12</v>
      </c>
      <c r="G253" s="1" t="s">
        <v>12</v>
      </c>
      <c r="H253" s="1" t="s">
        <v>12</v>
      </c>
      <c r="I253" s="14" t="s">
        <v>146</v>
      </c>
      <c r="J253" s="14">
        <v>0.37112711999999998</v>
      </c>
      <c r="K253" s="14">
        <v>0.13661633000000001</v>
      </c>
      <c r="L253" s="14">
        <v>0.13661633000000001</v>
      </c>
      <c r="M253" s="14">
        <v>0</v>
      </c>
      <c r="N253" s="14">
        <v>0</v>
      </c>
      <c r="O253" s="14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32" t="s">
        <v>147</v>
      </c>
      <c r="W253" s="14">
        <v>2021</v>
      </c>
      <c r="X253" s="14">
        <v>2021</v>
      </c>
      <c r="Y253" s="14">
        <v>0.23451079</v>
      </c>
      <c r="Z253" s="14">
        <v>2022</v>
      </c>
      <c r="AA253" s="14">
        <v>2022</v>
      </c>
      <c r="AB253" s="14">
        <v>0.13661632999999998</v>
      </c>
      <c r="AC253" s="14">
        <v>2022</v>
      </c>
      <c r="AD253" s="14" t="s">
        <v>481</v>
      </c>
    </row>
    <row r="254" spans="1:30" ht="56.25" x14ac:dyDescent="0.2">
      <c r="A254" s="1" t="s">
        <v>258</v>
      </c>
      <c r="B254" s="14" t="s">
        <v>353</v>
      </c>
      <c r="C254" s="13" t="s">
        <v>37</v>
      </c>
      <c r="D254" s="1" t="s">
        <v>31</v>
      </c>
      <c r="E254" s="1" t="s">
        <v>12</v>
      </c>
      <c r="F254" s="1" t="s">
        <v>12</v>
      </c>
      <c r="G254" s="1" t="s">
        <v>12</v>
      </c>
      <c r="H254" s="1" t="s">
        <v>12</v>
      </c>
      <c r="I254" s="14" t="s">
        <v>146</v>
      </c>
      <c r="J254" s="14">
        <v>0.41670319</v>
      </c>
      <c r="K254" s="14">
        <v>0.17340059999999999</v>
      </c>
      <c r="L254" s="14">
        <v>0.17340059999999999</v>
      </c>
      <c r="M254" s="14">
        <v>0</v>
      </c>
      <c r="N254" s="14">
        <v>0</v>
      </c>
      <c r="O254" s="14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32" t="s">
        <v>147</v>
      </c>
      <c r="W254" s="14">
        <v>2021</v>
      </c>
      <c r="X254" s="14">
        <v>2021</v>
      </c>
      <c r="Y254" s="14">
        <v>0.24330258999999999</v>
      </c>
      <c r="Z254" s="14">
        <v>2022</v>
      </c>
      <c r="AA254" s="14">
        <v>2022</v>
      </c>
      <c r="AB254" s="14">
        <v>0.17340060000000002</v>
      </c>
      <c r="AC254" s="14">
        <v>2022</v>
      </c>
      <c r="AD254" s="14" t="s">
        <v>481</v>
      </c>
    </row>
    <row r="255" spans="1:30" ht="56.25" x14ac:dyDescent="0.2">
      <c r="A255" s="1" t="s">
        <v>258</v>
      </c>
      <c r="B255" s="14" t="s">
        <v>354</v>
      </c>
      <c r="C255" s="13" t="s">
        <v>38</v>
      </c>
      <c r="D255" s="1" t="s">
        <v>31</v>
      </c>
      <c r="E255" s="1" t="s">
        <v>12</v>
      </c>
      <c r="F255" s="1" t="s">
        <v>12</v>
      </c>
      <c r="G255" s="1" t="s">
        <v>12</v>
      </c>
      <c r="H255" s="1" t="s">
        <v>12</v>
      </c>
      <c r="I255" s="14" t="s">
        <v>146</v>
      </c>
      <c r="J255" s="14">
        <v>1.0718074799999999</v>
      </c>
      <c r="K255" s="14">
        <v>0.81360281999999995</v>
      </c>
      <c r="L255" s="14">
        <v>0.81360281999999995</v>
      </c>
      <c r="M255" s="14">
        <v>0</v>
      </c>
      <c r="N255" s="14">
        <v>0</v>
      </c>
      <c r="O255" s="14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32" t="s">
        <v>147</v>
      </c>
      <c r="W255" s="14">
        <v>2021</v>
      </c>
      <c r="X255" s="14">
        <v>2021</v>
      </c>
      <c r="Y255" s="14">
        <v>0.25820466000000003</v>
      </c>
      <c r="Z255" s="14">
        <v>2022</v>
      </c>
      <c r="AA255" s="14">
        <v>2022</v>
      </c>
      <c r="AB255" s="14">
        <v>0.81360281999999995</v>
      </c>
      <c r="AC255" s="14">
        <v>2022</v>
      </c>
      <c r="AD255" s="14" t="s">
        <v>481</v>
      </c>
    </row>
    <row r="256" spans="1:30" ht="67.5" x14ac:dyDescent="0.2">
      <c r="A256" s="1" t="s">
        <v>258</v>
      </c>
      <c r="B256" s="14" t="s">
        <v>355</v>
      </c>
      <c r="C256" s="13" t="s">
        <v>39</v>
      </c>
      <c r="D256" s="1" t="s">
        <v>31</v>
      </c>
      <c r="E256" s="1" t="s">
        <v>12</v>
      </c>
      <c r="F256" s="1" t="s">
        <v>12</v>
      </c>
      <c r="G256" s="1" t="s">
        <v>12</v>
      </c>
      <c r="H256" s="1" t="s">
        <v>12</v>
      </c>
      <c r="I256" s="14" t="s">
        <v>146</v>
      </c>
      <c r="J256" s="14">
        <v>0.73464839999999998</v>
      </c>
      <c r="K256" s="14">
        <v>0.47581013</v>
      </c>
      <c r="L256" s="14">
        <v>0.47581013</v>
      </c>
      <c r="M256" s="14">
        <v>0</v>
      </c>
      <c r="N256" s="14">
        <v>0</v>
      </c>
      <c r="O256" s="14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32" t="s">
        <v>147</v>
      </c>
      <c r="W256" s="14">
        <v>2021</v>
      </c>
      <c r="X256" s="14">
        <v>2021</v>
      </c>
      <c r="Y256" s="14">
        <v>0.25883826999999998</v>
      </c>
      <c r="Z256" s="14">
        <v>2022</v>
      </c>
      <c r="AA256" s="14">
        <v>2022</v>
      </c>
      <c r="AB256" s="14">
        <v>0.47581013</v>
      </c>
      <c r="AC256" s="14">
        <v>2022</v>
      </c>
      <c r="AD256" s="14" t="s">
        <v>481</v>
      </c>
    </row>
    <row r="257" spans="1:30" ht="56.25" x14ac:dyDescent="0.2">
      <c r="A257" s="1" t="s">
        <v>258</v>
      </c>
      <c r="B257" s="14" t="s">
        <v>356</v>
      </c>
      <c r="C257" s="13" t="s">
        <v>40</v>
      </c>
      <c r="D257" s="1" t="s">
        <v>31</v>
      </c>
      <c r="E257" s="1" t="s">
        <v>12</v>
      </c>
      <c r="F257" s="1" t="s">
        <v>12</v>
      </c>
      <c r="G257" s="1" t="s">
        <v>12</v>
      </c>
      <c r="H257" s="1" t="s">
        <v>12</v>
      </c>
      <c r="I257" s="14" t="s">
        <v>146</v>
      </c>
      <c r="J257" s="14">
        <v>13.381541539999999</v>
      </c>
      <c r="K257" s="14">
        <v>12.838744950000001</v>
      </c>
      <c r="L257" s="14">
        <v>12.838744950000001</v>
      </c>
      <c r="M257" s="14">
        <v>0</v>
      </c>
      <c r="N257" s="14">
        <v>0</v>
      </c>
      <c r="O257" s="14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32" t="s">
        <v>147</v>
      </c>
      <c r="W257" s="14">
        <v>2020</v>
      </c>
      <c r="X257" s="14">
        <v>2020</v>
      </c>
      <c r="Y257" s="14">
        <v>8.2193089999999996E-2</v>
      </c>
      <c r="Z257" s="14">
        <v>2022</v>
      </c>
      <c r="AA257" s="14">
        <v>2022</v>
      </c>
      <c r="AB257" s="14">
        <v>13.29934845</v>
      </c>
      <c r="AC257" s="14">
        <v>2022</v>
      </c>
      <c r="AD257" s="14" t="s">
        <v>481</v>
      </c>
    </row>
    <row r="258" spans="1:30" ht="67.5" x14ac:dyDescent="0.2">
      <c r="A258" s="1" t="s">
        <v>258</v>
      </c>
      <c r="B258" s="14" t="s">
        <v>357</v>
      </c>
      <c r="C258" s="13" t="s">
        <v>41</v>
      </c>
      <c r="D258" s="1" t="s">
        <v>31</v>
      </c>
      <c r="E258" s="1" t="s">
        <v>12</v>
      </c>
      <c r="F258" s="1">
        <v>981</v>
      </c>
      <c r="G258" s="11">
        <v>2664.4</v>
      </c>
      <c r="H258" s="1" t="s">
        <v>12</v>
      </c>
      <c r="I258" s="14" t="s">
        <v>146</v>
      </c>
      <c r="J258" s="14">
        <v>2.71021483</v>
      </c>
      <c r="K258" s="14">
        <v>1.3467089800000001</v>
      </c>
      <c r="L258" s="14">
        <v>1.3467089800000001</v>
      </c>
      <c r="M258" s="14">
        <v>0</v>
      </c>
      <c r="N258" s="14">
        <v>0</v>
      </c>
      <c r="O258" s="14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32">
        <v>0</v>
      </c>
      <c r="W258" s="14">
        <v>2019</v>
      </c>
      <c r="X258" s="14">
        <v>2019</v>
      </c>
      <c r="Y258" s="14">
        <v>0.26064719000000003</v>
      </c>
      <c r="Z258" s="14">
        <v>2021</v>
      </c>
      <c r="AA258" s="14">
        <v>2022</v>
      </c>
      <c r="AB258" s="14">
        <v>2.4495676400000002</v>
      </c>
      <c r="AC258" s="14">
        <v>2022</v>
      </c>
      <c r="AD258" s="14" t="s">
        <v>481</v>
      </c>
    </row>
    <row r="259" spans="1:30" ht="78.75" x14ac:dyDescent="0.2">
      <c r="A259" s="1" t="s">
        <v>258</v>
      </c>
      <c r="B259" s="14" t="s">
        <v>358</v>
      </c>
      <c r="C259" s="13" t="s">
        <v>42</v>
      </c>
      <c r="D259" s="1" t="s">
        <v>31</v>
      </c>
      <c r="E259" s="1" t="s">
        <v>12</v>
      </c>
      <c r="F259" s="1">
        <v>57</v>
      </c>
      <c r="G259" s="11">
        <v>154.84</v>
      </c>
      <c r="H259" s="1" t="s">
        <v>12</v>
      </c>
      <c r="I259" s="14" t="s">
        <v>146</v>
      </c>
      <c r="J259" s="14">
        <v>1.1570908200000001</v>
      </c>
      <c r="K259" s="14">
        <v>0.90596924999999995</v>
      </c>
      <c r="L259" s="14">
        <v>0.90596924999999995</v>
      </c>
      <c r="M259" s="14">
        <v>0</v>
      </c>
      <c r="N259" s="14">
        <v>0</v>
      </c>
      <c r="O259" s="14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32" t="s">
        <v>147</v>
      </c>
      <c r="W259" s="14">
        <v>2021</v>
      </c>
      <c r="X259" s="14">
        <v>2021</v>
      </c>
      <c r="Y259" s="14">
        <v>0.25112157000000002</v>
      </c>
      <c r="Z259" s="14">
        <v>2022</v>
      </c>
      <c r="AA259" s="14">
        <v>2022</v>
      </c>
      <c r="AB259" s="14">
        <v>0.90596924999999995</v>
      </c>
      <c r="AC259" s="14">
        <v>2022</v>
      </c>
      <c r="AD259" s="14" t="s">
        <v>481</v>
      </c>
    </row>
    <row r="260" spans="1:30" ht="45" x14ac:dyDescent="0.2">
      <c r="A260" s="1" t="s">
        <v>258</v>
      </c>
      <c r="B260" s="14" t="s">
        <v>359</v>
      </c>
      <c r="C260" s="13" t="s">
        <v>43</v>
      </c>
      <c r="D260" s="1" t="s">
        <v>31</v>
      </c>
      <c r="E260" s="1" t="s">
        <v>12</v>
      </c>
      <c r="F260" s="1">
        <v>105</v>
      </c>
      <c r="G260" s="11">
        <v>285.2</v>
      </c>
      <c r="H260" s="1" t="s">
        <v>12</v>
      </c>
      <c r="I260" s="14" t="s">
        <v>146</v>
      </c>
      <c r="J260" s="14">
        <v>1.2095297899999999</v>
      </c>
      <c r="K260" s="14">
        <v>1.2095288</v>
      </c>
      <c r="L260" s="14">
        <v>0.19350880000000001</v>
      </c>
      <c r="M260" s="14">
        <v>1.0160199999999999</v>
      </c>
      <c r="N260" s="14">
        <v>0</v>
      </c>
      <c r="O260" s="14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32" t="s">
        <v>147</v>
      </c>
      <c r="W260" s="14">
        <v>2022</v>
      </c>
      <c r="X260" s="14">
        <v>2022</v>
      </c>
      <c r="Y260" s="14">
        <v>0.19350879999999998</v>
      </c>
      <c r="Z260" s="14">
        <v>2023</v>
      </c>
      <c r="AA260" s="14">
        <v>2023</v>
      </c>
      <c r="AB260" s="14">
        <v>1.0160209899999999</v>
      </c>
      <c r="AC260" s="14">
        <v>2023</v>
      </c>
      <c r="AD260" s="14" t="s">
        <v>481</v>
      </c>
    </row>
    <row r="261" spans="1:30" ht="33.75" x14ac:dyDescent="0.2">
      <c r="A261" s="1" t="s">
        <v>258</v>
      </c>
      <c r="B261" s="14" t="s">
        <v>360</v>
      </c>
      <c r="C261" s="13" t="s">
        <v>44</v>
      </c>
      <c r="D261" s="1" t="s">
        <v>31</v>
      </c>
      <c r="E261" s="1" t="s">
        <v>12</v>
      </c>
      <c r="F261" s="1">
        <v>800</v>
      </c>
      <c r="G261" s="11">
        <v>2173.1999999999998</v>
      </c>
      <c r="H261" s="1" t="s">
        <v>12</v>
      </c>
      <c r="I261" s="14" t="s">
        <v>146</v>
      </c>
      <c r="J261" s="14">
        <v>4.5386849699999994</v>
      </c>
      <c r="K261" s="14">
        <v>4.2725480400000002</v>
      </c>
      <c r="L261" s="14">
        <v>2.5506987800000003</v>
      </c>
      <c r="M261" s="14">
        <v>1.7218492599999999</v>
      </c>
      <c r="N261" s="14">
        <v>0</v>
      </c>
      <c r="O261" s="14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32" t="s">
        <v>147</v>
      </c>
      <c r="W261" s="14">
        <v>2021</v>
      </c>
      <c r="X261" s="14">
        <v>2021</v>
      </c>
      <c r="Y261" s="14">
        <v>0.26613692999999999</v>
      </c>
      <c r="Z261" s="14">
        <v>2022</v>
      </c>
      <c r="AA261" s="14">
        <v>2023</v>
      </c>
      <c r="AB261" s="14">
        <v>4.2725480400000002</v>
      </c>
      <c r="AC261" s="14">
        <v>2023</v>
      </c>
      <c r="AD261" s="14" t="s">
        <v>481</v>
      </c>
    </row>
    <row r="262" spans="1:30" ht="67.5" x14ac:dyDescent="0.2">
      <c r="A262" s="1" t="s">
        <v>258</v>
      </c>
      <c r="B262" s="14" t="s">
        <v>361</v>
      </c>
      <c r="C262" s="13" t="s">
        <v>45</v>
      </c>
      <c r="D262" s="1" t="s">
        <v>31</v>
      </c>
      <c r="E262" s="1" t="s">
        <v>12</v>
      </c>
      <c r="F262" s="1">
        <v>708</v>
      </c>
      <c r="G262" s="11">
        <v>1765.76</v>
      </c>
      <c r="H262" s="1" t="s">
        <v>12</v>
      </c>
      <c r="I262" s="14" t="s">
        <v>146</v>
      </c>
      <c r="J262" s="14">
        <v>1.49583683</v>
      </c>
      <c r="K262" s="14">
        <v>1.21373099</v>
      </c>
      <c r="L262" s="14">
        <v>1.21373099</v>
      </c>
      <c r="M262" s="14">
        <v>0</v>
      </c>
      <c r="N262" s="14">
        <v>0</v>
      </c>
      <c r="O262" s="14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32" t="s">
        <v>147</v>
      </c>
      <c r="W262" s="14">
        <v>2021</v>
      </c>
      <c r="X262" s="14">
        <v>2021</v>
      </c>
      <c r="Y262" s="14">
        <v>0.28210584000000005</v>
      </c>
      <c r="Z262" s="14">
        <v>2022</v>
      </c>
      <c r="AA262" s="14">
        <v>2022</v>
      </c>
      <c r="AB262" s="14">
        <v>1.21373099</v>
      </c>
      <c r="AC262" s="14">
        <v>2022</v>
      </c>
      <c r="AD262" s="14" t="s">
        <v>481</v>
      </c>
    </row>
    <row r="263" spans="1:30" ht="56.25" x14ac:dyDescent="0.2">
      <c r="A263" s="1" t="s">
        <v>258</v>
      </c>
      <c r="B263" s="14" t="s">
        <v>362</v>
      </c>
      <c r="C263" s="13" t="s">
        <v>46</v>
      </c>
      <c r="D263" s="1" t="s">
        <v>31</v>
      </c>
      <c r="E263" s="1" t="s">
        <v>12</v>
      </c>
      <c r="F263" s="1">
        <v>84</v>
      </c>
      <c r="G263" s="11">
        <v>228.19</v>
      </c>
      <c r="H263" s="1" t="s">
        <v>12</v>
      </c>
      <c r="I263" s="14" t="s">
        <v>146</v>
      </c>
      <c r="J263" s="14">
        <v>0.31955391999999999</v>
      </c>
      <c r="K263" s="14">
        <v>0.20401392000000002</v>
      </c>
      <c r="L263" s="14">
        <v>3.2308500000000004E-3</v>
      </c>
      <c r="M263" s="14">
        <v>0.20078307000000001</v>
      </c>
      <c r="N263" s="14">
        <v>0</v>
      </c>
      <c r="O263" s="14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32" t="s">
        <v>147</v>
      </c>
      <c r="W263" s="14">
        <v>2021</v>
      </c>
      <c r="X263" s="14">
        <v>2021</v>
      </c>
      <c r="Y263" s="14">
        <v>0.11554</v>
      </c>
      <c r="Z263" s="14">
        <v>2022</v>
      </c>
      <c r="AA263" s="14">
        <v>2023</v>
      </c>
      <c r="AB263" s="14">
        <v>0.20401392000000002</v>
      </c>
      <c r="AC263" s="14">
        <v>2023</v>
      </c>
      <c r="AD263" s="14" t="s">
        <v>481</v>
      </c>
    </row>
    <row r="264" spans="1:30" ht="56.25" x14ac:dyDescent="0.2">
      <c r="A264" s="1" t="s">
        <v>258</v>
      </c>
      <c r="B264" s="14" t="s">
        <v>363</v>
      </c>
      <c r="C264" s="13" t="s">
        <v>47</v>
      </c>
      <c r="D264" s="1" t="s">
        <v>31</v>
      </c>
      <c r="E264" s="1" t="s">
        <v>12</v>
      </c>
      <c r="F264" s="1">
        <v>989</v>
      </c>
      <c r="G264" s="11">
        <v>2686.68</v>
      </c>
      <c r="H264" s="1" t="s">
        <v>12</v>
      </c>
      <c r="I264" s="14" t="s">
        <v>146</v>
      </c>
      <c r="J264" s="14">
        <v>6.3644278099999996</v>
      </c>
      <c r="K264" s="14">
        <v>6.1082416799999999</v>
      </c>
      <c r="L264" s="14">
        <v>3.8768760000000002</v>
      </c>
      <c r="M264" s="14">
        <v>2.2313656799999997</v>
      </c>
      <c r="N264" s="14">
        <v>0</v>
      </c>
      <c r="O264" s="14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32" t="s">
        <v>147</v>
      </c>
      <c r="W264" s="14">
        <v>2021</v>
      </c>
      <c r="X264" s="14">
        <v>2021</v>
      </c>
      <c r="Y264" s="14">
        <v>0.25618613000000001</v>
      </c>
      <c r="Z264" s="14">
        <v>2022</v>
      </c>
      <c r="AA264" s="14">
        <v>2023</v>
      </c>
      <c r="AB264" s="14">
        <v>6.1082416799999999</v>
      </c>
      <c r="AC264" s="14">
        <v>2023</v>
      </c>
      <c r="AD264" s="14" t="s">
        <v>481</v>
      </c>
    </row>
    <row r="265" spans="1:30" ht="56.25" x14ac:dyDescent="0.2">
      <c r="A265" s="1" t="s">
        <v>258</v>
      </c>
      <c r="B265" s="14" t="s">
        <v>364</v>
      </c>
      <c r="C265" s="13" t="s">
        <v>48</v>
      </c>
      <c r="D265" s="1" t="s">
        <v>31</v>
      </c>
      <c r="E265" s="1" t="s">
        <v>12</v>
      </c>
      <c r="F265" s="1">
        <v>900</v>
      </c>
      <c r="G265" s="11">
        <v>2444.9</v>
      </c>
      <c r="H265" s="1" t="s">
        <v>12</v>
      </c>
      <c r="I265" s="14" t="s">
        <v>146</v>
      </c>
      <c r="J265" s="14">
        <v>5.9251144</v>
      </c>
      <c r="K265" s="14">
        <v>5.9251144</v>
      </c>
      <c r="L265" s="14">
        <v>0.20089397000000001</v>
      </c>
      <c r="M265" s="14">
        <v>5.7242204299999999</v>
      </c>
      <c r="N265" s="14">
        <v>0</v>
      </c>
      <c r="O265" s="14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32" t="s">
        <v>147</v>
      </c>
      <c r="W265" s="14">
        <v>2022</v>
      </c>
      <c r="X265" s="14">
        <v>2022</v>
      </c>
      <c r="Y265" s="14">
        <v>0.20089397000000001</v>
      </c>
      <c r="Z265" s="14">
        <v>2023</v>
      </c>
      <c r="AA265" s="14">
        <v>2023</v>
      </c>
      <c r="AB265" s="14">
        <v>5.7242204299999999</v>
      </c>
      <c r="AC265" s="14">
        <v>2023</v>
      </c>
      <c r="AD265" s="14" t="s">
        <v>481</v>
      </c>
    </row>
    <row r="266" spans="1:30" ht="56.25" x14ac:dyDescent="0.2">
      <c r="A266" s="1" t="s">
        <v>258</v>
      </c>
      <c r="B266" s="14" t="s">
        <v>365</v>
      </c>
      <c r="C266" s="13" t="s">
        <v>49</v>
      </c>
      <c r="D266" s="1" t="s">
        <v>31</v>
      </c>
      <c r="E266" s="1" t="s">
        <v>12</v>
      </c>
      <c r="F266" s="1">
        <v>80</v>
      </c>
      <c r="G266" s="11">
        <v>217.32</v>
      </c>
      <c r="H266" s="1" t="s">
        <v>12</v>
      </c>
      <c r="I266" s="14" t="s">
        <v>146</v>
      </c>
      <c r="J266" s="14">
        <v>1.40812019</v>
      </c>
      <c r="K266" s="14">
        <v>1.40812019</v>
      </c>
      <c r="L266" s="14">
        <v>0.19134890999999998</v>
      </c>
      <c r="M266" s="14">
        <v>1.2167712799999999</v>
      </c>
      <c r="N266" s="14">
        <v>0</v>
      </c>
      <c r="O266" s="14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32" t="s">
        <v>147</v>
      </c>
      <c r="W266" s="14">
        <v>2022</v>
      </c>
      <c r="X266" s="14">
        <v>2022</v>
      </c>
      <c r="Y266" s="14">
        <v>0.19134891000000001</v>
      </c>
      <c r="Z266" s="14">
        <v>2023</v>
      </c>
      <c r="AA266" s="14">
        <v>2023</v>
      </c>
      <c r="AB266" s="14">
        <v>1.2167712800000001</v>
      </c>
      <c r="AC266" s="14">
        <v>2023</v>
      </c>
      <c r="AD266" s="14" t="s">
        <v>481</v>
      </c>
    </row>
    <row r="267" spans="1:30" ht="56.25" x14ac:dyDescent="0.2">
      <c r="A267" s="1" t="s">
        <v>258</v>
      </c>
      <c r="B267" s="14" t="s">
        <v>366</v>
      </c>
      <c r="C267" s="13" t="s">
        <v>50</v>
      </c>
      <c r="D267" s="1" t="s">
        <v>31</v>
      </c>
      <c r="E267" s="1" t="s">
        <v>12</v>
      </c>
      <c r="F267" s="1">
        <v>80</v>
      </c>
      <c r="G267" s="11">
        <v>217.32</v>
      </c>
      <c r="H267" s="1" t="s">
        <v>12</v>
      </c>
      <c r="I267" s="14" t="s">
        <v>146</v>
      </c>
      <c r="J267" s="14">
        <v>1.40636008</v>
      </c>
      <c r="K267" s="14">
        <v>1.40636008</v>
      </c>
      <c r="L267" s="14">
        <v>0.18733569</v>
      </c>
      <c r="M267" s="14">
        <v>1.21902439</v>
      </c>
      <c r="N267" s="14">
        <v>0</v>
      </c>
      <c r="O267" s="14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32" t="s">
        <v>147</v>
      </c>
      <c r="W267" s="14">
        <v>2022</v>
      </c>
      <c r="X267" s="14">
        <v>2022</v>
      </c>
      <c r="Y267" s="14">
        <v>0.18733569</v>
      </c>
      <c r="Z267" s="14">
        <v>2023</v>
      </c>
      <c r="AA267" s="14">
        <v>2023</v>
      </c>
      <c r="AB267" s="14">
        <v>1.21902439</v>
      </c>
      <c r="AC267" s="14">
        <v>2023</v>
      </c>
      <c r="AD267" s="14" t="s">
        <v>481</v>
      </c>
    </row>
    <row r="268" spans="1:30" ht="67.5" x14ac:dyDescent="0.2">
      <c r="A268" s="1" t="s">
        <v>258</v>
      </c>
      <c r="B268" s="14" t="s">
        <v>367</v>
      </c>
      <c r="C268" s="13" t="s">
        <v>51</v>
      </c>
      <c r="D268" s="1" t="s">
        <v>31</v>
      </c>
      <c r="E268" s="1" t="s">
        <v>12</v>
      </c>
      <c r="F268" s="1">
        <v>900</v>
      </c>
      <c r="G268" s="11">
        <v>2444.91</v>
      </c>
      <c r="H268" s="1" t="s">
        <v>12</v>
      </c>
      <c r="I268" s="14" t="s">
        <v>146</v>
      </c>
      <c r="J268" s="14">
        <v>1.9002092000000002</v>
      </c>
      <c r="K268" s="14">
        <v>1.9002092000000002</v>
      </c>
      <c r="L268" s="14">
        <v>0.18723580000000001</v>
      </c>
      <c r="M268" s="14">
        <v>1.7129734000000001</v>
      </c>
      <c r="N268" s="14">
        <v>0</v>
      </c>
      <c r="O268" s="14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32" t="s">
        <v>147</v>
      </c>
      <c r="W268" s="14">
        <v>2022</v>
      </c>
      <c r="X268" s="14">
        <v>2022</v>
      </c>
      <c r="Y268" s="14">
        <v>0.18723579999999998</v>
      </c>
      <c r="Z268" s="14">
        <v>2023</v>
      </c>
      <c r="AA268" s="14">
        <v>2023</v>
      </c>
      <c r="AB268" s="14">
        <v>1.7129733999999999</v>
      </c>
      <c r="AC268" s="14">
        <v>2023</v>
      </c>
      <c r="AD268" s="14" t="s">
        <v>481</v>
      </c>
    </row>
    <row r="269" spans="1:30" ht="67.5" x14ac:dyDescent="0.2">
      <c r="A269" s="1" t="s">
        <v>258</v>
      </c>
      <c r="B269" s="14" t="s">
        <v>368</v>
      </c>
      <c r="C269" s="13" t="s">
        <v>52</v>
      </c>
      <c r="D269" s="1" t="s">
        <v>31</v>
      </c>
      <c r="E269" s="1" t="s">
        <v>12</v>
      </c>
      <c r="F269" s="1">
        <v>50</v>
      </c>
      <c r="G269" s="11">
        <v>135.80000000000001</v>
      </c>
      <c r="H269" s="1" t="s">
        <v>12</v>
      </c>
      <c r="I269" s="14" t="s">
        <v>146</v>
      </c>
      <c r="J269" s="14">
        <v>1.5965953799999999</v>
      </c>
      <c r="K269" s="14">
        <v>1.5965953799999999</v>
      </c>
      <c r="L269" s="14">
        <v>0.18175008000000001</v>
      </c>
      <c r="M269" s="14">
        <v>1.4148452999999999</v>
      </c>
      <c r="N269" s="14">
        <v>0</v>
      </c>
      <c r="O269" s="14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32" t="s">
        <v>147</v>
      </c>
      <c r="W269" s="14">
        <v>2022</v>
      </c>
      <c r="X269" s="14">
        <v>2022</v>
      </c>
      <c r="Y269" s="14">
        <v>0.18175007999999998</v>
      </c>
      <c r="Z269" s="14">
        <v>2023</v>
      </c>
      <c r="AA269" s="14">
        <v>2023</v>
      </c>
      <c r="AB269" s="14">
        <v>1.4148453000000001</v>
      </c>
      <c r="AC269" s="14">
        <v>2023</v>
      </c>
      <c r="AD269" s="14" t="s">
        <v>481</v>
      </c>
    </row>
    <row r="270" spans="1:30" ht="56.25" x14ac:dyDescent="0.2">
      <c r="A270" s="1" t="s">
        <v>258</v>
      </c>
      <c r="B270" s="14" t="s">
        <v>369</v>
      </c>
      <c r="C270" s="13" t="s">
        <v>53</v>
      </c>
      <c r="D270" s="1" t="s">
        <v>31</v>
      </c>
      <c r="E270" s="1" t="s">
        <v>12</v>
      </c>
      <c r="F270" s="1">
        <v>50</v>
      </c>
      <c r="G270" s="11">
        <v>135.80000000000001</v>
      </c>
      <c r="H270" s="1" t="s">
        <v>12</v>
      </c>
      <c r="I270" s="14" t="s">
        <v>146</v>
      </c>
      <c r="J270" s="14">
        <v>1.6060709500000001</v>
      </c>
      <c r="K270" s="14">
        <v>1.6060709500000001</v>
      </c>
      <c r="L270" s="14">
        <v>0.17942814000000001</v>
      </c>
      <c r="M270" s="14">
        <v>1.4266428100000001</v>
      </c>
      <c r="N270" s="14">
        <v>0</v>
      </c>
      <c r="O270" s="14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32" t="s">
        <v>147</v>
      </c>
      <c r="W270" s="14">
        <v>2022</v>
      </c>
      <c r="X270" s="14">
        <v>2022</v>
      </c>
      <c r="Y270" s="14">
        <v>0.17942814000000001</v>
      </c>
      <c r="Z270" s="14">
        <v>2023</v>
      </c>
      <c r="AA270" s="14">
        <v>2023</v>
      </c>
      <c r="AB270" s="14">
        <v>1.4266428100000001</v>
      </c>
      <c r="AC270" s="14">
        <v>2023</v>
      </c>
      <c r="AD270" s="14" t="s">
        <v>481</v>
      </c>
    </row>
    <row r="271" spans="1:30" ht="67.5" x14ac:dyDescent="0.2">
      <c r="A271" s="1" t="s">
        <v>258</v>
      </c>
      <c r="B271" s="14" t="s">
        <v>370</v>
      </c>
      <c r="C271" s="13" t="s">
        <v>54</v>
      </c>
      <c r="D271" s="1" t="s">
        <v>31</v>
      </c>
      <c r="E271" s="1" t="s">
        <v>12</v>
      </c>
      <c r="F271" s="1">
        <v>912</v>
      </c>
      <c r="G271" s="11">
        <v>2477.5</v>
      </c>
      <c r="H271" s="1" t="s">
        <v>12</v>
      </c>
      <c r="I271" s="14" t="s">
        <v>146</v>
      </c>
      <c r="J271" s="14">
        <v>1.6518226899999999</v>
      </c>
      <c r="K271" s="14">
        <v>1.6518226899999999</v>
      </c>
      <c r="L271" s="14">
        <v>0.17636326999999999</v>
      </c>
      <c r="M271" s="14">
        <v>1.47545942</v>
      </c>
      <c r="N271" s="14">
        <v>0</v>
      </c>
      <c r="O271" s="14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32" t="s">
        <v>147</v>
      </c>
      <c r="W271" s="14">
        <v>2022</v>
      </c>
      <c r="X271" s="14">
        <v>2022</v>
      </c>
      <c r="Y271" s="14">
        <v>0.17636326999999999</v>
      </c>
      <c r="Z271" s="14">
        <v>2023</v>
      </c>
      <c r="AA271" s="14">
        <v>2023</v>
      </c>
      <c r="AB271" s="14">
        <v>1.47545942</v>
      </c>
      <c r="AC271" s="14">
        <v>2023</v>
      </c>
      <c r="AD271" s="14" t="s">
        <v>481</v>
      </c>
    </row>
    <row r="272" spans="1:30" ht="45" x14ac:dyDescent="0.2">
      <c r="A272" s="1" t="s">
        <v>258</v>
      </c>
      <c r="B272" s="14" t="s">
        <v>371</v>
      </c>
      <c r="C272" s="13" t="s">
        <v>55</v>
      </c>
      <c r="D272" s="1" t="s">
        <v>31</v>
      </c>
      <c r="E272" s="1" t="s">
        <v>12</v>
      </c>
      <c r="F272" s="1">
        <v>1600</v>
      </c>
      <c r="G272" s="11">
        <v>4346.5</v>
      </c>
      <c r="H272" s="1" t="s">
        <v>12</v>
      </c>
      <c r="I272" s="14" t="s">
        <v>146</v>
      </c>
      <c r="J272" s="14">
        <v>6.1086454800000007</v>
      </c>
      <c r="K272" s="14">
        <v>1.3914041699999999</v>
      </c>
      <c r="L272" s="14">
        <v>1.3914041699999999</v>
      </c>
      <c r="M272" s="14">
        <v>0</v>
      </c>
      <c r="N272" s="14">
        <v>0</v>
      </c>
      <c r="O272" s="14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32" t="s">
        <v>147</v>
      </c>
      <c r="W272" s="14">
        <v>2020</v>
      </c>
      <c r="X272" s="14">
        <v>2020</v>
      </c>
      <c r="Y272" s="14">
        <v>0.20698113000000001</v>
      </c>
      <c r="Z272" s="14">
        <v>2022</v>
      </c>
      <c r="AA272" s="14">
        <v>2022</v>
      </c>
      <c r="AB272" s="14">
        <v>5.9016643499999999</v>
      </c>
      <c r="AC272" s="14">
        <v>2022</v>
      </c>
      <c r="AD272" s="14" t="s">
        <v>481</v>
      </c>
    </row>
    <row r="273" spans="1:30" ht="45" x14ac:dyDescent="0.2">
      <c r="A273" s="1" t="s">
        <v>258</v>
      </c>
      <c r="B273" s="14" t="s">
        <v>372</v>
      </c>
      <c r="C273" s="13" t="s">
        <v>56</v>
      </c>
      <c r="D273" s="1" t="s">
        <v>31</v>
      </c>
      <c r="E273" s="1" t="s">
        <v>12</v>
      </c>
      <c r="F273" s="1">
        <v>1158.9000000000001</v>
      </c>
      <c r="G273" s="11">
        <v>3148.3</v>
      </c>
      <c r="H273" s="1" t="s">
        <v>12</v>
      </c>
      <c r="I273" s="14" t="s">
        <v>146</v>
      </c>
      <c r="J273" s="14">
        <v>3.13794</v>
      </c>
      <c r="K273" s="14">
        <f>L273+M273+N273</f>
        <v>2.6318868699999998</v>
      </c>
      <c r="L273" s="14">
        <v>0.1883225</v>
      </c>
      <c r="M273" s="14">
        <v>2.3083484699999999</v>
      </c>
      <c r="N273" s="14">
        <f>135.2159/1000</f>
        <v>0.1352159</v>
      </c>
      <c r="O273" s="14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32" t="s">
        <v>147</v>
      </c>
      <c r="W273" s="14">
        <v>2022</v>
      </c>
      <c r="X273" s="14">
        <v>2022</v>
      </c>
      <c r="Y273" s="14">
        <v>0.1883225</v>
      </c>
      <c r="Z273" s="14">
        <v>2023</v>
      </c>
      <c r="AA273" s="14">
        <v>2024</v>
      </c>
      <c r="AB273" s="14">
        <v>2.9496175</v>
      </c>
      <c r="AC273" s="14">
        <f>AA273</f>
        <v>2024</v>
      </c>
      <c r="AD273" s="14" t="s">
        <v>481</v>
      </c>
    </row>
    <row r="274" spans="1:30" ht="45" x14ac:dyDescent="0.2">
      <c r="A274" s="1" t="s">
        <v>258</v>
      </c>
      <c r="B274" s="14" t="s">
        <v>373</v>
      </c>
      <c r="C274" s="13" t="s">
        <v>57</v>
      </c>
      <c r="D274" s="1" t="s">
        <v>31</v>
      </c>
      <c r="E274" s="1" t="s">
        <v>12</v>
      </c>
      <c r="F274" s="1" t="s">
        <v>12</v>
      </c>
      <c r="G274" s="11" t="s">
        <v>12</v>
      </c>
      <c r="H274" s="1" t="s">
        <v>12</v>
      </c>
      <c r="I274" s="14" t="s">
        <v>146</v>
      </c>
      <c r="J274" s="14">
        <v>0.94509935</v>
      </c>
      <c r="K274" s="14">
        <v>0.94509935</v>
      </c>
      <c r="L274" s="14">
        <v>0.2051094</v>
      </c>
      <c r="M274" s="14">
        <v>0.73998995000000001</v>
      </c>
      <c r="N274" s="14">
        <v>0</v>
      </c>
      <c r="O274" s="14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32" t="s">
        <v>147</v>
      </c>
      <c r="W274" s="14">
        <v>2022</v>
      </c>
      <c r="X274" s="14">
        <v>2022</v>
      </c>
      <c r="Y274" s="14">
        <v>0.2051094</v>
      </c>
      <c r="Z274" s="14">
        <v>2023</v>
      </c>
      <c r="AA274" s="14">
        <v>2023</v>
      </c>
      <c r="AB274" s="14">
        <v>0.73998995000000001</v>
      </c>
      <c r="AC274" s="14">
        <v>2023</v>
      </c>
      <c r="AD274" s="14" t="s">
        <v>481</v>
      </c>
    </row>
    <row r="275" spans="1:30" ht="45" x14ac:dyDescent="0.2">
      <c r="A275" s="1" t="s">
        <v>258</v>
      </c>
      <c r="B275" s="14" t="s">
        <v>374</v>
      </c>
      <c r="C275" s="13" t="s">
        <v>58</v>
      </c>
      <c r="D275" s="1" t="s">
        <v>31</v>
      </c>
      <c r="E275" s="1" t="s">
        <v>12</v>
      </c>
      <c r="F275" s="1">
        <v>800</v>
      </c>
      <c r="G275" s="11">
        <v>2173.3000000000002</v>
      </c>
      <c r="H275" s="1" t="s">
        <v>12</v>
      </c>
      <c r="I275" s="14" t="s">
        <v>146</v>
      </c>
      <c r="J275" s="14">
        <v>2.4019916700000001</v>
      </c>
      <c r="K275" s="14">
        <v>1.0354777400000001</v>
      </c>
      <c r="L275" s="14">
        <v>1.0354777400000001</v>
      </c>
      <c r="M275" s="14">
        <v>0</v>
      </c>
      <c r="N275" s="14">
        <v>0</v>
      </c>
      <c r="O275" s="14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32" t="s">
        <v>147</v>
      </c>
      <c r="W275" s="14">
        <v>2021</v>
      </c>
      <c r="X275" s="14">
        <v>2021</v>
      </c>
      <c r="Y275" s="14">
        <v>0.12865272999999999</v>
      </c>
      <c r="Z275" s="14">
        <v>2021</v>
      </c>
      <c r="AA275" s="14">
        <v>2022</v>
      </c>
      <c r="AB275" s="14">
        <v>2.2733389399999999</v>
      </c>
      <c r="AC275" s="14">
        <v>2022</v>
      </c>
      <c r="AD275" s="14" t="s">
        <v>481</v>
      </c>
    </row>
    <row r="276" spans="1:30" ht="123.75" x14ac:dyDescent="0.2">
      <c r="A276" s="1" t="s">
        <v>258</v>
      </c>
      <c r="B276" s="14" t="s">
        <v>375</v>
      </c>
      <c r="C276" s="13" t="s">
        <v>59</v>
      </c>
      <c r="D276" s="1" t="s">
        <v>31</v>
      </c>
      <c r="E276" s="1" t="s">
        <v>12</v>
      </c>
      <c r="F276" s="1">
        <v>600</v>
      </c>
      <c r="G276" s="11">
        <v>1629.93</v>
      </c>
      <c r="H276" s="1" t="s">
        <v>12</v>
      </c>
      <c r="I276" s="14" t="s">
        <v>146</v>
      </c>
      <c r="J276" s="14">
        <v>2.8480870600000001</v>
      </c>
      <c r="K276" s="14">
        <v>1.1654691700000002</v>
      </c>
      <c r="L276" s="14">
        <v>1.1654691700000002</v>
      </c>
      <c r="M276" s="14">
        <v>0</v>
      </c>
      <c r="N276" s="14">
        <v>0</v>
      </c>
      <c r="O276" s="14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32" t="s">
        <v>147</v>
      </c>
      <c r="W276" s="14">
        <v>2020</v>
      </c>
      <c r="X276" s="14">
        <v>2020</v>
      </c>
      <c r="Y276" s="14">
        <v>0.11618916999999999</v>
      </c>
      <c r="Z276" s="14">
        <v>2022</v>
      </c>
      <c r="AA276" s="14">
        <v>2022</v>
      </c>
      <c r="AB276" s="14">
        <v>2.7318978899999999</v>
      </c>
      <c r="AC276" s="14">
        <v>2022</v>
      </c>
      <c r="AD276" s="14" t="s">
        <v>481</v>
      </c>
    </row>
    <row r="277" spans="1:30" ht="45" x14ac:dyDescent="0.2">
      <c r="A277" s="1" t="s">
        <v>258</v>
      </c>
      <c r="B277" s="14" t="s">
        <v>376</v>
      </c>
      <c r="C277" s="13" t="s">
        <v>60</v>
      </c>
      <c r="D277" s="1" t="s">
        <v>31</v>
      </c>
      <c r="E277" s="1" t="s">
        <v>12</v>
      </c>
      <c r="F277" s="1">
        <v>1277</v>
      </c>
      <c r="G277" s="11">
        <v>3469</v>
      </c>
      <c r="H277" s="1" t="s">
        <v>12</v>
      </c>
      <c r="I277" s="14" t="s">
        <v>146</v>
      </c>
      <c r="J277" s="14">
        <v>3.2785276699999999</v>
      </c>
      <c r="K277" s="14">
        <v>1.2812283299999998</v>
      </c>
      <c r="L277" s="14">
        <v>1.2812283299999998</v>
      </c>
      <c r="M277" s="14">
        <v>0</v>
      </c>
      <c r="N277" s="14">
        <v>0</v>
      </c>
      <c r="O277" s="14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32" t="s">
        <v>147</v>
      </c>
      <c r="W277" s="14">
        <v>2020</v>
      </c>
      <c r="X277" s="14">
        <v>2020</v>
      </c>
      <c r="Y277" s="14">
        <v>0.11634958000000001</v>
      </c>
      <c r="Z277" s="14">
        <v>2022</v>
      </c>
      <c r="AA277" s="14">
        <v>2022</v>
      </c>
      <c r="AB277" s="14">
        <v>3.1621780899999998</v>
      </c>
      <c r="AC277" s="14">
        <v>2022</v>
      </c>
      <c r="AD277" s="14" t="s">
        <v>481</v>
      </c>
    </row>
    <row r="278" spans="1:30" ht="45" x14ac:dyDescent="0.2">
      <c r="A278" s="1" t="s">
        <v>258</v>
      </c>
      <c r="B278" s="14" t="s">
        <v>377</v>
      </c>
      <c r="C278" s="13" t="s">
        <v>61</v>
      </c>
      <c r="D278" s="1" t="s">
        <v>31</v>
      </c>
      <c r="E278" s="1" t="s">
        <v>12</v>
      </c>
      <c r="F278" s="1">
        <v>1673.3</v>
      </c>
      <c r="G278" s="11">
        <v>4545.62</v>
      </c>
      <c r="H278" s="1" t="s">
        <v>12</v>
      </c>
      <c r="I278" s="14" t="s">
        <v>146</v>
      </c>
      <c r="J278" s="14">
        <v>2.6375981099999999</v>
      </c>
      <c r="K278" s="14">
        <v>1.1377108300000001</v>
      </c>
      <c r="L278" s="14">
        <v>1.1377108300000001</v>
      </c>
      <c r="M278" s="14">
        <v>0</v>
      </c>
      <c r="N278" s="14">
        <v>0</v>
      </c>
      <c r="O278" s="14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32" t="s">
        <v>147</v>
      </c>
      <c r="W278" s="14">
        <v>2020</v>
      </c>
      <c r="X278" s="14">
        <v>2020</v>
      </c>
      <c r="Y278" s="14">
        <v>0.12072896000000001</v>
      </c>
      <c r="Z278" s="14">
        <v>2022</v>
      </c>
      <c r="AA278" s="14">
        <v>2022</v>
      </c>
      <c r="AB278" s="14">
        <v>2.5168691499999998</v>
      </c>
      <c r="AC278" s="14">
        <v>2022</v>
      </c>
      <c r="AD278" s="14" t="s">
        <v>481</v>
      </c>
    </row>
    <row r="279" spans="1:30" ht="56.25" x14ac:dyDescent="0.2">
      <c r="A279" s="1" t="s">
        <v>258</v>
      </c>
      <c r="B279" s="14" t="s">
        <v>378</v>
      </c>
      <c r="C279" s="13" t="s">
        <v>62</v>
      </c>
      <c r="D279" s="1" t="s">
        <v>31</v>
      </c>
      <c r="E279" s="1" t="s">
        <v>12</v>
      </c>
      <c r="F279" s="1">
        <v>932.7</v>
      </c>
      <c r="G279" s="11">
        <v>2533.7399999999998</v>
      </c>
      <c r="H279" s="1" t="s">
        <v>12</v>
      </c>
      <c r="I279" s="14" t="s">
        <v>146</v>
      </c>
      <c r="J279" s="14">
        <v>2.5860440299999996</v>
      </c>
      <c r="K279" s="14">
        <v>1.1217768100000001</v>
      </c>
      <c r="L279" s="14">
        <v>1.1217768100000001</v>
      </c>
      <c r="M279" s="14">
        <v>0</v>
      </c>
      <c r="N279" s="14">
        <v>0</v>
      </c>
      <c r="O279" s="14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32" t="s">
        <v>147</v>
      </c>
      <c r="W279" s="14">
        <v>2020</v>
      </c>
      <c r="X279" s="14">
        <v>2020</v>
      </c>
      <c r="Y279" s="14">
        <v>0.11536283999999999</v>
      </c>
      <c r="Z279" s="14">
        <v>2022</v>
      </c>
      <c r="AA279" s="14">
        <v>2022</v>
      </c>
      <c r="AB279" s="14">
        <v>2.4706811900000001</v>
      </c>
      <c r="AC279" s="14">
        <v>2022</v>
      </c>
      <c r="AD279" s="14" t="s">
        <v>481</v>
      </c>
    </row>
    <row r="280" spans="1:30" ht="45" x14ac:dyDescent="0.2">
      <c r="A280" s="1" t="s">
        <v>258</v>
      </c>
      <c r="B280" s="14" t="s">
        <v>379</v>
      </c>
      <c r="C280" s="13" t="s">
        <v>63</v>
      </c>
      <c r="D280" s="1" t="s">
        <v>31</v>
      </c>
      <c r="E280" s="1" t="s">
        <v>12</v>
      </c>
      <c r="F280" s="1">
        <v>595</v>
      </c>
      <c r="G280" s="11">
        <v>5215.66</v>
      </c>
      <c r="H280" s="1" t="s">
        <v>12</v>
      </c>
      <c r="I280" s="14" t="s">
        <v>146</v>
      </c>
      <c r="J280" s="14">
        <v>2.12731659</v>
      </c>
      <c r="K280" s="14">
        <v>2.12731659</v>
      </c>
      <c r="L280" s="14">
        <v>0.18051639999999999</v>
      </c>
      <c r="M280" s="14">
        <v>1.9468001899999998</v>
      </c>
      <c r="N280" s="14">
        <v>0</v>
      </c>
      <c r="O280" s="14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32" t="s">
        <v>147</v>
      </c>
      <c r="W280" s="14">
        <v>2022</v>
      </c>
      <c r="X280" s="14">
        <v>2022</v>
      </c>
      <c r="Y280" s="14">
        <v>0.18051639999999999</v>
      </c>
      <c r="Z280" s="14">
        <v>2023</v>
      </c>
      <c r="AA280" s="14">
        <v>2023</v>
      </c>
      <c r="AB280" s="14">
        <v>1.94680019</v>
      </c>
      <c r="AC280" s="14">
        <f t="shared" ref="AC280:AC343" si="24">AA280</f>
        <v>2023</v>
      </c>
      <c r="AD280" s="14" t="s">
        <v>481</v>
      </c>
    </row>
    <row r="281" spans="1:30" ht="45" x14ac:dyDescent="0.2">
      <c r="A281" s="1" t="s">
        <v>258</v>
      </c>
      <c r="B281" s="14" t="s">
        <v>380</v>
      </c>
      <c r="C281" s="13" t="s">
        <v>64</v>
      </c>
      <c r="D281" s="1" t="s">
        <v>31</v>
      </c>
      <c r="E281" s="1">
        <v>0.16900000000000001</v>
      </c>
      <c r="F281" s="1">
        <v>81.2</v>
      </c>
      <c r="G281" s="11">
        <v>223.03</v>
      </c>
      <c r="H281" s="1" t="s">
        <v>12</v>
      </c>
      <c r="I281" s="14" t="s">
        <v>146</v>
      </c>
      <c r="J281" s="14">
        <v>1.4437396</v>
      </c>
      <c r="K281" s="14">
        <f>L281+M281+N281</f>
        <v>1.48464924</v>
      </c>
      <c r="L281" s="14">
        <v>0</v>
      </c>
      <c r="M281" s="14">
        <v>0.18679100000000001</v>
      </c>
      <c r="N281" s="14">
        <f>1297.85824/1000</f>
        <v>1.2978582400000001</v>
      </c>
      <c r="O281" s="14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32" t="s">
        <v>147</v>
      </c>
      <c r="W281" s="14">
        <v>2021</v>
      </c>
      <c r="X281" s="14">
        <v>2021</v>
      </c>
      <c r="Y281" s="14">
        <v>0.1867914</v>
      </c>
      <c r="Z281" s="14">
        <v>2023</v>
      </c>
      <c r="AA281" s="14">
        <v>2024</v>
      </c>
      <c r="AB281" s="14">
        <v>1.2569486000000001</v>
      </c>
      <c r="AC281" s="14">
        <f t="shared" si="24"/>
        <v>2024</v>
      </c>
      <c r="AD281" s="14" t="s">
        <v>481</v>
      </c>
    </row>
    <row r="282" spans="1:30" ht="56.25" x14ac:dyDescent="0.2">
      <c r="A282" s="1" t="s">
        <v>258</v>
      </c>
      <c r="B282" s="14" t="s">
        <v>381</v>
      </c>
      <c r="C282" s="13" t="s">
        <v>65</v>
      </c>
      <c r="D282" s="1" t="s">
        <v>31</v>
      </c>
      <c r="E282" s="1">
        <v>0.32500000000000001</v>
      </c>
      <c r="F282" s="1">
        <v>124.1</v>
      </c>
      <c r="G282" s="11">
        <v>337.12</v>
      </c>
      <c r="H282" s="1" t="s">
        <v>12</v>
      </c>
      <c r="I282" s="14" t="s">
        <v>146</v>
      </c>
      <c r="J282" s="14">
        <v>3.4748199999999998</v>
      </c>
      <c r="K282" s="14">
        <f t="shared" ref="K282:K300" si="25">L282+M282+N282</f>
        <v>2.47342985</v>
      </c>
      <c r="L282" s="14">
        <v>0</v>
      </c>
      <c r="M282" s="14">
        <v>2.27347901</v>
      </c>
      <c r="N282" s="14">
        <f>199.95084/1000</f>
        <v>0.19995083999999999</v>
      </c>
      <c r="O282" s="14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32" t="s">
        <v>147</v>
      </c>
      <c r="W282" s="14">
        <v>2021</v>
      </c>
      <c r="X282" s="14">
        <v>2021</v>
      </c>
      <c r="Y282" s="14">
        <v>0.31796702000000004</v>
      </c>
      <c r="Z282" s="14">
        <v>2023</v>
      </c>
      <c r="AA282" s="14">
        <v>2024</v>
      </c>
      <c r="AB282" s="14">
        <v>3.1568529799999996</v>
      </c>
      <c r="AC282" s="14">
        <f t="shared" si="24"/>
        <v>2024</v>
      </c>
      <c r="AD282" s="14" t="s">
        <v>481</v>
      </c>
    </row>
    <row r="283" spans="1:30" ht="67.5" x14ac:dyDescent="0.2">
      <c r="A283" s="1" t="s">
        <v>258</v>
      </c>
      <c r="B283" s="14" t="s">
        <v>382</v>
      </c>
      <c r="C283" s="13" t="s">
        <v>66</v>
      </c>
      <c r="D283" s="1" t="s">
        <v>31</v>
      </c>
      <c r="E283" s="1">
        <v>1.4810000000000001</v>
      </c>
      <c r="F283" s="1" t="s">
        <v>12</v>
      </c>
      <c r="G283" s="11" t="s">
        <v>12</v>
      </c>
      <c r="H283" s="1" t="s">
        <v>12</v>
      </c>
      <c r="I283" s="14" t="s">
        <v>146</v>
      </c>
      <c r="J283" s="14">
        <v>14.65869</v>
      </c>
      <c r="K283" s="14">
        <f t="shared" si="25"/>
        <v>13.24740933</v>
      </c>
      <c r="L283" s="14">
        <v>0</v>
      </c>
      <c r="M283" s="14">
        <v>7.2144800599999996</v>
      </c>
      <c r="N283" s="14">
        <f>6032.92927/1000</f>
        <v>6.0329292699999995</v>
      </c>
      <c r="O283" s="14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32" t="s">
        <v>147</v>
      </c>
      <c r="W283" s="14">
        <v>2021</v>
      </c>
      <c r="X283" s="14">
        <v>2021</v>
      </c>
      <c r="Y283" s="14">
        <v>0.69898377</v>
      </c>
      <c r="Z283" s="14">
        <v>2023</v>
      </c>
      <c r="AA283" s="14">
        <v>2024</v>
      </c>
      <c r="AB283" s="14">
        <v>13.95970623</v>
      </c>
      <c r="AC283" s="14">
        <f t="shared" si="24"/>
        <v>2024</v>
      </c>
      <c r="AD283" s="14" t="s">
        <v>481</v>
      </c>
    </row>
    <row r="284" spans="1:30" ht="45" x14ac:dyDescent="0.2">
      <c r="A284" s="1" t="s">
        <v>258</v>
      </c>
      <c r="B284" s="14" t="s">
        <v>383</v>
      </c>
      <c r="C284" s="13" t="s">
        <v>67</v>
      </c>
      <c r="D284" s="1" t="s">
        <v>31</v>
      </c>
      <c r="E284" s="1">
        <v>0.4</v>
      </c>
      <c r="F284" s="1" t="s">
        <v>12</v>
      </c>
      <c r="G284" s="11" t="s">
        <v>12</v>
      </c>
      <c r="H284" s="1" t="s">
        <v>12</v>
      </c>
      <c r="I284" s="14" t="s">
        <v>146</v>
      </c>
      <c r="J284" s="14">
        <v>4.9889000000000001</v>
      </c>
      <c r="K284" s="14">
        <f>L284+M284+N284</f>
        <v>4.4777927200000001</v>
      </c>
      <c r="L284" s="14">
        <v>0</v>
      </c>
      <c r="M284" s="14">
        <v>1.93602498</v>
      </c>
      <c r="N284" s="14">
        <f>2541.76774/1000</f>
        <v>2.5417677399999996</v>
      </c>
      <c r="O284" s="14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32" t="s">
        <v>147</v>
      </c>
      <c r="W284" s="14">
        <v>2021</v>
      </c>
      <c r="X284" s="14">
        <v>2021</v>
      </c>
      <c r="Y284" s="14">
        <v>0.39404121999999997</v>
      </c>
      <c r="Z284" s="14">
        <v>2023</v>
      </c>
      <c r="AA284" s="14">
        <v>2024</v>
      </c>
      <c r="AB284" s="14">
        <v>4.59485878</v>
      </c>
      <c r="AC284" s="14">
        <f t="shared" si="24"/>
        <v>2024</v>
      </c>
      <c r="AD284" s="14" t="s">
        <v>481</v>
      </c>
    </row>
    <row r="285" spans="1:30" ht="67.5" x14ac:dyDescent="0.2">
      <c r="A285" s="1" t="s">
        <v>258</v>
      </c>
      <c r="B285" s="14" t="s">
        <v>384</v>
      </c>
      <c r="C285" s="13" t="s">
        <v>68</v>
      </c>
      <c r="D285" s="1" t="s">
        <v>31</v>
      </c>
      <c r="E285" s="1">
        <v>0.38500000000000001</v>
      </c>
      <c r="F285" s="1" t="s">
        <v>12</v>
      </c>
      <c r="G285" s="11" t="s">
        <v>12</v>
      </c>
      <c r="H285" s="1" t="s">
        <v>12</v>
      </c>
      <c r="I285" s="14" t="s">
        <v>146</v>
      </c>
      <c r="J285" s="20">
        <v>3.2319399999999998</v>
      </c>
      <c r="K285" s="20">
        <f t="shared" si="25"/>
        <v>3.1072905400000002</v>
      </c>
      <c r="L285" s="20">
        <v>0</v>
      </c>
      <c r="M285" s="20">
        <v>0</v>
      </c>
      <c r="N285" s="20">
        <f>3107.29054/1000</f>
        <v>3.1072905400000002</v>
      </c>
      <c r="O285" s="20">
        <v>0</v>
      </c>
      <c r="P285" s="20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32" t="s">
        <v>147</v>
      </c>
      <c r="W285" s="14">
        <v>2021</v>
      </c>
      <c r="X285" s="14">
        <v>2021</v>
      </c>
      <c r="Y285" s="14">
        <v>0.27534821999999998</v>
      </c>
      <c r="Z285" s="14">
        <v>2023</v>
      </c>
      <c r="AA285" s="14">
        <v>2024</v>
      </c>
      <c r="AB285" s="14">
        <v>2.9565917799999997</v>
      </c>
      <c r="AC285" s="14">
        <f t="shared" si="24"/>
        <v>2024</v>
      </c>
      <c r="AD285" s="14" t="s">
        <v>481</v>
      </c>
    </row>
    <row r="286" spans="1:30" ht="45" x14ac:dyDescent="0.2">
      <c r="A286" s="1" t="s">
        <v>258</v>
      </c>
      <c r="B286" s="14" t="s">
        <v>385</v>
      </c>
      <c r="C286" s="13" t="s">
        <v>69</v>
      </c>
      <c r="D286" s="1" t="s">
        <v>31</v>
      </c>
      <c r="E286" s="1">
        <v>0.19500000000000001</v>
      </c>
      <c r="F286" s="1" t="s">
        <v>12</v>
      </c>
      <c r="G286" s="11" t="s">
        <v>12</v>
      </c>
      <c r="H286" s="1" t="s">
        <v>12</v>
      </c>
      <c r="I286" s="14" t="s">
        <v>146</v>
      </c>
      <c r="J286" s="20">
        <v>1.91964</v>
      </c>
      <c r="K286" s="20">
        <f t="shared" si="25"/>
        <v>1.78575204</v>
      </c>
      <c r="L286" s="20">
        <v>0</v>
      </c>
      <c r="M286" s="20">
        <v>0</v>
      </c>
      <c r="N286" s="20">
        <f>1785.75204/1000</f>
        <v>1.78575204</v>
      </c>
      <c r="O286" s="20">
        <v>0</v>
      </c>
      <c r="P286" s="20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32" t="s">
        <v>147</v>
      </c>
      <c r="W286" s="14">
        <v>2021</v>
      </c>
      <c r="X286" s="14">
        <v>2021</v>
      </c>
      <c r="Y286" s="14">
        <v>0.17125310000000002</v>
      </c>
      <c r="Z286" s="14">
        <v>2023</v>
      </c>
      <c r="AA286" s="14">
        <v>2024</v>
      </c>
      <c r="AB286" s="14">
        <v>1.7483869000000001</v>
      </c>
      <c r="AC286" s="14">
        <f t="shared" si="24"/>
        <v>2024</v>
      </c>
      <c r="AD286" s="14" t="s">
        <v>481</v>
      </c>
    </row>
    <row r="287" spans="1:30" ht="45" x14ac:dyDescent="0.2">
      <c r="A287" s="1" t="s">
        <v>258</v>
      </c>
      <c r="B287" s="14" t="s">
        <v>386</v>
      </c>
      <c r="C287" s="13" t="s">
        <v>70</v>
      </c>
      <c r="D287" s="1" t="s">
        <v>31</v>
      </c>
      <c r="E287" s="1">
        <v>0.255</v>
      </c>
      <c r="F287" s="1" t="s">
        <v>12</v>
      </c>
      <c r="G287" s="11" t="s">
        <v>12</v>
      </c>
      <c r="H287" s="1" t="s">
        <v>12</v>
      </c>
      <c r="I287" s="14" t="s">
        <v>146</v>
      </c>
      <c r="J287" s="20">
        <v>1.65761</v>
      </c>
      <c r="K287" s="20">
        <f t="shared" si="25"/>
        <v>1.5683733100000001</v>
      </c>
      <c r="L287" s="20">
        <v>0</v>
      </c>
      <c r="M287" s="20">
        <v>1.0560171600000001</v>
      </c>
      <c r="N287" s="20">
        <f>512.35615/1000</f>
        <v>0.51235615000000001</v>
      </c>
      <c r="O287" s="20">
        <v>0</v>
      </c>
      <c r="P287" s="20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32" t="s">
        <v>147</v>
      </c>
      <c r="W287" s="14">
        <v>2021</v>
      </c>
      <c r="X287" s="14">
        <v>2021</v>
      </c>
      <c r="Y287" s="14">
        <v>0.20343410000000001</v>
      </c>
      <c r="Z287" s="14">
        <v>2023</v>
      </c>
      <c r="AA287" s="14">
        <v>2024</v>
      </c>
      <c r="AB287" s="14">
        <v>1.4541759000000001</v>
      </c>
      <c r="AC287" s="14">
        <f t="shared" si="24"/>
        <v>2024</v>
      </c>
      <c r="AD287" s="14" t="s">
        <v>481</v>
      </c>
    </row>
    <row r="288" spans="1:30" ht="45" x14ac:dyDescent="0.2">
      <c r="A288" s="1" t="s">
        <v>258</v>
      </c>
      <c r="B288" s="14" t="s">
        <v>387</v>
      </c>
      <c r="C288" s="13" t="s">
        <v>71</v>
      </c>
      <c r="D288" s="1" t="s">
        <v>31</v>
      </c>
      <c r="E288" s="1">
        <v>0.44700000000000001</v>
      </c>
      <c r="F288" s="1" t="s">
        <v>12</v>
      </c>
      <c r="G288" s="11" t="s">
        <v>12</v>
      </c>
      <c r="H288" s="1" t="s">
        <v>12</v>
      </c>
      <c r="I288" s="14" t="s">
        <v>146</v>
      </c>
      <c r="J288" s="20">
        <v>5.91343</v>
      </c>
      <c r="K288" s="20">
        <f t="shared" si="25"/>
        <v>5.1247456900000001</v>
      </c>
      <c r="L288" s="20">
        <v>0</v>
      </c>
      <c r="M288" s="20">
        <v>0</v>
      </c>
      <c r="N288" s="20">
        <f>5124.74569/1000</f>
        <v>5.1247456900000001</v>
      </c>
      <c r="O288" s="20">
        <v>0</v>
      </c>
      <c r="P288" s="20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32" t="s">
        <v>147</v>
      </c>
      <c r="W288" s="14">
        <v>2021</v>
      </c>
      <c r="X288" s="14">
        <v>2021</v>
      </c>
      <c r="Y288" s="14">
        <v>0.50618808000000004</v>
      </c>
      <c r="Z288" s="14">
        <v>2023</v>
      </c>
      <c r="AA288" s="14">
        <v>2024</v>
      </c>
      <c r="AB288" s="14">
        <v>5.4072419199999997</v>
      </c>
      <c r="AC288" s="14">
        <f t="shared" si="24"/>
        <v>2024</v>
      </c>
      <c r="AD288" s="14" t="s">
        <v>481</v>
      </c>
    </row>
    <row r="289" spans="1:30" ht="67.5" x14ac:dyDescent="0.2">
      <c r="A289" s="1" t="s">
        <v>258</v>
      </c>
      <c r="B289" s="14" t="s">
        <v>388</v>
      </c>
      <c r="C289" s="13" t="s">
        <v>72</v>
      </c>
      <c r="D289" s="1" t="s">
        <v>31</v>
      </c>
      <c r="E289" s="1">
        <v>0.25</v>
      </c>
      <c r="F289" s="1">
        <v>22.72</v>
      </c>
      <c r="G289" s="11">
        <v>61.72</v>
      </c>
      <c r="H289" s="1" t="s">
        <v>12</v>
      </c>
      <c r="I289" s="14" t="s">
        <v>146</v>
      </c>
      <c r="J289" s="20">
        <v>3.5414399999999997</v>
      </c>
      <c r="K289" s="20">
        <f t="shared" si="25"/>
        <v>2.9824075300000001</v>
      </c>
      <c r="L289" s="20">
        <v>0</v>
      </c>
      <c r="M289" s="20">
        <v>0.30253645999999995</v>
      </c>
      <c r="N289" s="20">
        <f>2679.87107/1000</f>
        <v>2.6798710700000004</v>
      </c>
      <c r="O289" s="20">
        <v>0</v>
      </c>
      <c r="P289" s="20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32" t="s">
        <v>147</v>
      </c>
      <c r="W289" s="14">
        <v>2023</v>
      </c>
      <c r="X289" s="14">
        <v>2023</v>
      </c>
      <c r="Y289" s="14">
        <v>0.30253646000000001</v>
      </c>
      <c r="Z289" s="14">
        <v>2024</v>
      </c>
      <c r="AA289" s="14">
        <v>2024</v>
      </c>
      <c r="AB289" s="14">
        <v>3.2389035399999999</v>
      </c>
      <c r="AC289" s="14">
        <f t="shared" si="24"/>
        <v>2024</v>
      </c>
      <c r="AD289" s="14" t="s">
        <v>481</v>
      </c>
    </row>
    <row r="290" spans="1:30" ht="45" x14ac:dyDescent="0.2">
      <c r="A290" s="1" t="s">
        <v>258</v>
      </c>
      <c r="B290" s="14" t="s">
        <v>389</v>
      </c>
      <c r="C290" s="13" t="s">
        <v>73</v>
      </c>
      <c r="D290" s="1" t="s">
        <v>31</v>
      </c>
      <c r="E290" s="1">
        <v>8.3000000000000007</v>
      </c>
      <c r="F290" s="1">
        <v>709.7</v>
      </c>
      <c r="G290" s="11">
        <v>1695.9</v>
      </c>
      <c r="H290" s="1" t="s">
        <v>12</v>
      </c>
      <c r="I290" s="14" t="s">
        <v>146</v>
      </c>
      <c r="J290" s="20">
        <v>63.632468809999999</v>
      </c>
      <c r="K290" s="20">
        <v>63.632468809999999</v>
      </c>
      <c r="L290" s="20">
        <v>0</v>
      </c>
      <c r="M290" s="20">
        <v>63.632468809999999</v>
      </c>
      <c r="N290" s="20">
        <v>0</v>
      </c>
      <c r="O290" s="20">
        <v>0</v>
      </c>
      <c r="P290" s="20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32" t="s">
        <v>145</v>
      </c>
      <c r="W290" s="14">
        <v>2022</v>
      </c>
      <c r="X290" s="14">
        <v>2022</v>
      </c>
      <c r="Y290" s="14" t="s">
        <v>12</v>
      </c>
      <c r="Z290" s="14">
        <v>2023</v>
      </c>
      <c r="AA290" s="14">
        <v>2023</v>
      </c>
      <c r="AB290" s="14">
        <v>63.632461710000001</v>
      </c>
      <c r="AC290" s="14">
        <f t="shared" si="24"/>
        <v>2023</v>
      </c>
      <c r="AD290" s="14" t="s">
        <v>481</v>
      </c>
    </row>
    <row r="291" spans="1:30" ht="45" x14ac:dyDescent="0.2">
      <c r="A291" s="1" t="s">
        <v>258</v>
      </c>
      <c r="B291" s="14" t="s">
        <v>390</v>
      </c>
      <c r="C291" s="13" t="s">
        <v>74</v>
      </c>
      <c r="D291" s="1" t="s">
        <v>31</v>
      </c>
      <c r="E291" s="1" t="s">
        <v>12</v>
      </c>
      <c r="F291" s="1" t="s">
        <v>12</v>
      </c>
      <c r="G291" s="11" t="s">
        <v>12</v>
      </c>
      <c r="H291" s="1" t="s">
        <v>12</v>
      </c>
      <c r="I291" s="14" t="s">
        <v>146</v>
      </c>
      <c r="J291" s="20">
        <v>2.4259706899999998</v>
      </c>
      <c r="K291" s="20">
        <f t="shared" si="25"/>
        <v>2.5314781300000004</v>
      </c>
      <c r="L291" s="20">
        <v>0</v>
      </c>
      <c r="M291" s="20">
        <v>7.7280000000000001E-2</v>
      </c>
      <c r="N291" s="20">
        <f>2454.19813/1000</f>
        <v>2.4541981300000004</v>
      </c>
      <c r="O291" s="20">
        <v>0</v>
      </c>
      <c r="P291" s="20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32" t="s">
        <v>147</v>
      </c>
      <c r="W291" s="14">
        <v>2023</v>
      </c>
      <c r="X291" s="14">
        <v>2023</v>
      </c>
      <c r="Y291" s="14">
        <v>7.7279310000000004E-2</v>
      </c>
      <c r="Z291" s="14">
        <v>2024</v>
      </c>
      <c r="AA291" s="14">
        <v>2024</v>
      </c>
      <c r="AB291" s="14">
        <v>2.3486913799999996</v>
      </c>
      <c r="AC291" s="14">
        <f t="shared" si="24"/>
        <v>2024</v>
      </c>
      <c r="AD291" s="14" t="s">
        <v>481</v>
      </c>
    </row>
    <row r="292" spans="1:30" ht="56.25" x14ac:dyDescent="0.2">
      <c r="A292" s="1" t="s">
        <v>258</v>
      </c>
      <c r="B292" s="14" t="s">
        <v>391</v>
      </c>
      <c r="C292" s="13" t="s">
        <v>75</v>
      </c>
      <c r="D292" s="1" t="s">
        <v>31</v>
      </c>
      <c r="E292" s="1" t="s">
        <v>12</v>
      </c>
      <c r="F292" s="1" t="s">
        <v>12</v>
      </c>
      <c r="G292" s="11" t="s">
        <v>12</v>
      </c>
      <c r="H292" s="1" t="s">
        <v>12</v>
      </c>
      <c r="I292" s="14" t="s">
        <v>146</v>
      </c>
      <c r="J292" s="20">
        <v>2.6004239099999999</v>
      </c>
      <c r="K292" s="20">
        <v>2.6004239099999999</v>
      </c>
      <c r="L292" s="20">
        <v>0</v>
      </c>
      <c r="M292" s="20">
        <v>2.6004239099999999</v>
      </c>
      <c r="N292" s="20">
        <v>0</v>
      </c>
      <c r="O292" s="20">
        <v>0</v>
      </c>
      <c r="P292" s="20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32" t="s">
        <v>147</v>
      </c>
      <c r="W292" s="14">
        <v>2023</v>
      </c>
      <c r="X292" s="14">
        <v>2023</v>
      </c>
      <c r="Y292" s="14">
        <v>8.9053489999999999E-2</v>
      </c>
      <c r="Z292" s="14">
        <v>2023</v>
      </c>
      <c r="AA292" s="14">
        <v>2023</v>
      </c>
      <c r="AB292" s="14">
        <v>2.51137042</v>
      </c>
      <c r="AC292" s="14">
        <f t="shared" si="24"/>
        <v>2023</v>
      </c>
      <c r="AD292" s="14" t="s">
        <v>481</v>
      </c>
    </row>
    <row r="293" spans="1:30" ht="45" x14ac:dyDescent="0.2">
      <c r="A293" s="1" t="s">
        <v>258</v>
      </c>
      <c r="B293" s="14" t="s">
        <v>392</v>
      </c>
      <c r="C293" s="13" t="s">
        <v>76</v>
      </c>
      <c r="D293" s="1" t="s">
        <v>31</v>
      </c>
      <c r="E293" s="1" t="s">
        <v>12</v>
      </c>
      <c r="F293" s="1" t="s">
        <v>12</v>
      </c>
      <c r="G293" s="11" t="s">
        <v>12</v>
      </c>
      <c r="H293" s="1" t="s">
        <v>12</v>
      </c>
      <c r="I293" s="14" t="s">
        <v>146</v>
      </c>
      <c r="J293" s="20">
        <v>2.5176866900000001</v>
      </c>
      <c r="K293" s="20">
        <f t="shared" si="25"/>
        <v>2.5709376599999998</v>
      </c>
      <c r="L293" s="20">
        <v>0</v>
      </c>
      <c r="M293" s="20">
        <v>7.1199999999999999E-2</v>
      </c>
      <c r="N293" s="20">
        <f>2499.73766/1000</f>
        <v>2.4997376599999996</v>
      </c>
      <c r="O293" s="20">
        <v>0</v>
      </c>
      <c r="P293" s="20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32" t="s">
        <v>147</v>
      </c>
      <c r="W293" s="14">
        <v>2023</v>
      </c>
      <c r="X293" s="14">
        <v>2023</v>
      </c>
      <c r="Y293" s="14">
        <v>7.1203309999999992E-2</v>
      </c>
      <c r="Z293" s="14">
        <v>2024</v>
      </c>
      <c r="AA293" s="14">
        <v>2024</v>
      </c>
      <c r="AB293" s="14">
        <v>2.4464833800000001</v>
      </c>
      <c r="AC293" s="14">
        <f t="shared" si="24"/>
        <v>2024</v>
      </c>
      <c r="AD293" s="14" t="s">
        <v>481</v>
      </c>
    </row>
    <row r="294" spans="1:30" ht="45" x14ac:dyDescent="0.2">
      <c r="A294" s="1" t="s">
        <v>258</v>
      </c>
      <c r="B294" s="14" t="s">
        <v>393</v>
      </c>
      <c r="C294" s="13" t="s">
        <v>77</v>
      </c>
      <c r="D294" s="1" t="s">
        <v>31</v>
      </c>
      <c r="E294" s="1" t="s">
        <v>12</v>
      </c>
      <c r="F294" s="1">
        <v>413.1</v>
      </c>
      <c r="G294" s="11">
        <v>1122.211</v>
      </c>
      <c r="H294" s="1" t="s">
        <v>12</v>
      </c>
      <c r="I294" s="14" t="s">
        <v>146</v>
      </c>
      <c r="J294" s="20">
        <v>3.13286</v>
      </c>
      <c r="K294" s="20">
        <f t="shared" si="25"/>
        <v>2.69543884</v>
      </c>
      <c r="L294" s="20">
        <v>0</v>
      </c>
      <c r="M294" s="20">
        <v>0.26498000999999999</v>
      </c>
      <c r="N294" s="20">
        <f>2430.45883/1000</f>
        <v>2.4304588300000001</v>
      </c>
      <c r="O294" s="20">
        <v>0</v>
      </c>
      <c r="P294" s="20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32" t="s">
        <v>147</v>
      </c>
      <c r="W294" s="14">
        <v>2023</v>
      </c>
      <c r="X294" s="14">
        <v>2023</v>
      </c>
      <c r="Y294" s="14">
        <v>0.26498000999999999</v>
      </c>
      <c r="Z294" s="14">
        <v>2024</v>
      </c>
      <c r="AA294" s="14">
        <v>2024</v>
      </c>
      <c r="AB294" s="14">
        <v>2.86787999</v>
      </c>
      <c r="AC294" s="14">
        <f t="shared" si="24"/>
        <v>2024</v>
      </c>
      <c r="AD294" s="14" t="s">
        <v>481</v>
      </c>
    </row>
    <row r="295" spans="1:30" ht="45" x14ac:dyDescent="0.2">
      <c r="A295" s="1" t="s">
        <v>258</v>
      </c>
      <c r="B295" s="14" t="s">
        <v>394</v>
      </c>
      <c r="C295" s="13" t="s">
        <v>78</v>
      </c>
      <c r="D295" s="1" t="s">
        <v>31</v>
      </c>
      <c r="E295" s="12">
        <v>0.106</v>
      </c>
      <c r="F295" s="1">
        <v>18.7</v>
      </c>
      <c r="G295" s="11">
        <v>50.799669999999999</v>
      </c>
      <c r="H295" s="1" t="s">
        <v>12</v>
      </c>
      <c r="I295" s="14" t="s">
        <v>146</v>
      </c>
      <c r="J295" s="20">
        <v>2.6086700000000005</v>
      </c>
      <c r="K295" s="20">
        <f t="shared" si="25"/>
        <v>1.8741779800000002</v>
      </c>
      <c r="L295" s="20">
        <v>0</v>
      </c>
      <c r="M295" s="20">
        <v>0.29165505000000003</v>
      </c>
      <c r="N295" s="20">
        <f>1582.52293/1000</f>
        <v>1.5825229300000001</v>
      </c>
      <c r="O295" s="20">
        <v>0</v>
      </c>
      <c r="P295" s="20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32" t="s">
        <v>147</v>
      </c>
      <c r="W295" s="14">
        <v>2023</v>
      </c>
      <c r="X295" s="14">
        <v>2023</v>
      </c>
      <c r="Y295" s="14">
        <v>0.29165504999999997</v>
      </c>
      <c r="Z295" s="14">
        <v>2024</v>
      </c>
      <c r="AA295" s="14">
        <v>2024</v>
      </c>
      <c r="AB295" s="14">
        <v>2.3170149500000004</v>
      </c>
      <c r="AC295" s="14">
        <f t="shared" si="24"/>
        <v>2024</v>
      </c>
      <c r="AD295" s="14" t="s">
        <v>481</v>
      </c>
    </row>
    <row r="296" spans="1:30" ht="45" x14ac:dyDescent="0.2">
      <c r="A296" s="1" t="s">
        <v>258</v>
      </c>
      <c r="B296" s="14" t="s">
        <v>395</v>
      </c>
      <c r="C296" s="13" t="s">
        <v>79</v>
      </c>
      <c r="D296" s="1" t="s">
        <v>31</v>
      </c>
      <c r="E296" s="12">
        <v>0.13469999999999999</v>
      </c>
      <c r="F296" s="1">
        <v>18.23</v>
      </c>
      <c r="G296" s="11">
        <v>49.522889999999997</v>
      </c>
      <c r="H296" s="1" t="s">
        <v>12</v>
      </c>
      <c r="I296" s="14" t="s">
        <v>146</v>
      </c>
      <c r="J296" s="20">
        <v>2.0706099999999998</v>
      </c>
      <c r="K296" s="20">
        <f t="shared" si="25"/>
        <v>1.7863562200000001</v>
      </c>
      <c r="L296" s="20">
        <v>0</v>
      </c>
      <c r="M296" s="20">
        <v>0.31703131000000001</v>
      </c>
      <c r="N296" s="20">
        <f>1469.32491/1000</f>
        <v>1.4693249100000001</v>
      </c>
      <c r="O296" s="20">
        <v>0</v>
      </c>
      <c r="P296" s="20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32" t="s">
        <v>147</v>
      </c>
      <c r="W296" s="14">
        <v>2023</v>
      </c>
      <c r="X296" s="14">
        <v>2023</v>
      </c>
      <c r="Y296" s="14">
        <v>0.31703131000000001</v>
      </c>
      <c r="Z296" s="14">
        <v>2024</v>
      </c>
      <c r="AA296" s="14">
        <v>2024</v>
      </c>
      <c r="AB296" s="14">
        <v>1.7535786899999999</v>
      </c>
      <c r="AC296" s="14">
        <f t="shared" si="24"/>
        <v>2024</v>
      </c>
      <c r="AD296" s="14" t="s">
        <v>481</v>
      </c>
    </row>
    <row r="297" spans="1:30" ht="56.25" x14ac:dyDescent="0.2">
      <c r="A297" s="1" t="s">
        <v>258</v>
      </c>
      <c r="B297" s="14" t="s">
        <v>396</v>
      </c>
      <c r="C297" s="13" t="s">
        <v>80</v>
      </c>
      <c r="D297" s="1" t="s">
        <v>31</v>
      </c>
      <c r="E297" s="12">
        <v>0.1991</v>
      </c>
      <c r="F297" s="1">
        <v>20.54</v>
      </c>
      <c r="G297" s="11">
        <v>55.798139999999997</v>
      </c>
      <c r="H297" s="1" t="s">
        <v>12</v>
      </c>
      <c r="I297" s="14" t="s">
        <v>146</v>
      </c>
      <c r="J297" s="20">
        <v>3.5945999999999998</v>
      </c>
      <c r="K297" s="20">
        <f t="shared" si="25"/>
        <v>2.5801400699999997</v>
      </c>
      <c r="L297" s="20">
        <v>0</v>
      </c>
      <c r="M297" s="20">
        <v>0.43162075</v>
      </c>
      <c r="N297" s="20">
        <f>2148.51932/1000</f>
        <v>2.1485193199999997</v>
      </c>
      <c r="O297" s="20">
        <v>0</v>
      </c>
      <c r="P297" s="20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32" t="s">
        <v>147</v>
      </c>
      <c r="W297" s="14">
        <v>2023</v>
      </c>
      <c r="X297" s="14">
        <v>2023</v>
      </c>
      <c r="Y297" s="14">
        <v>0.43162075</v>
      </c>
      <c r="Z297" s="14">
        <v>2024</v>
      </c>
      <c r="AA297" s="14">
        <v>2024</v>
      </c>
      <c r="AB297" s="14">
        <v>3.1629792499999998</v>
      </c>
      <c r="AC297" s="14">
        <f t="shared" si="24"/>
        <v>2024</v>
      </c>
      <c r="AD297" s="14" t="s">
        <v>481</v>
      </c>
    </row>
    <row r="298" spans="1:30" ht="45" x14ac:dyDescent="0.2">
      <c r="A298" s="1" t="s">
        <v>258</v>
      </c>
      <c r="B298" s="14" t="s">
        <v>397</v>
      </c>
      <c r="C298" s="13" t="s">
        <v>81</v>
      </c>
      <c r="D298" s="1" t="s">
        <v>31</v>
      </c>
      <c r="E298" s="12">
        <v>7.2499999999999995E-2</v>
      </c>
      <c r="F298" s="1">
        <v>22.9</v>
      </c>
      <c r="G298" s="11">
        <v>62.209220000000002</v>
      </c>
      <c r="H298" s="1" t="s">
        <v>12</v>
      </c>
      <c r="I298" s="14" t="s">
        <v>146</v>
      </c>
      <c r="J298" s="20">
        <v>0.97707999999999995</v>
      </c>
      <c r="K298" s="20">
        <f t="shared" si="25"/>
        <v>0.82262206999999998</v>
      </c>
      <c r="L298" s="20">
        <v>0</v>
      </c>
      <c r="M298" s="20">
        <v>0.1866157</v>
      </c>
      <c r="N298" s="20">
        <f>636.00637/1000</f>
        <v>0.63600636999999993</v>
      </c>
      <c r="O298" s="20">
        <v>0</v>
      </c>
      <c r="P298" s="20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32" t="s">
        <v>147</v>
      </c>
      <c r="W298" s="14">
        <v>2023</v>
      </c>
      <c r="X298" s="14">
        <v>2023</v>
      </c>
      <c r="Y298" s="14">
        <v>0.18661570000000002</v>
      </c>
      <c r="Z298" s="14">
        <v>2024</v>
      </c>
      <c r="AA298" s="14">
        <v>2024</v>
      </c>
      <c r="AB298" s="14">
        <v>0.7904642999999999</v>
      </c>
      <c r="AC298" s="14">
        <f t="shared" si="24"/>
        <v>2024</v>
      </c>
      <c r="AD298" s="14" t="s">
        <v>481</v>
      </c>
    </row>
    <row r="299" spans="1:30" ht="56.25" x14ac:dyDescent="0.2">
      <c r="A299" s="1" t="s">
        <v>258</v>
      </c>
      <c r="B299" s="14" t="s">
        <v>398</v>
      </c>
      <c r="C299" s="13" t="s">
        <v>82</v>
      </c>
      <c r="D299" s="1" t="s">
        <v>31</v>
      </c>
      <c r="E299" s="12" t="s">
        <v>12</v>
      </c>
      <c r="F299" s="1" t="s">
        <v>12</v>
      </c>
      <c r="G299" s="11" t="s">
        <v>12</v>
      </c>
      <c r="H299" s="1" t="s">
        <v>12</v>
      </c>
      <c r="I299" s="14" t="s">
        <v>146</v>
      </c>
      <c r="J299" s="20">
        <v>0.36980000000000002</v>
      </c>
      <c r="K299" s="20">
        <f t="shared" si="25"/>
        <v>0.45315249999999996</v>
      </c>
      <c r="L299" s="20">
        <v>0</v>
      </c>
      <c r="M299" s="20">
        <v>7.2361270000000005E-2</v>
      </c>
      <c r="N299" s="20">
        <f>380.79123/1000</f>
        <v>0.38079122999999998</v>
      </c>
      <c r="O299" s="20">
        <v>0</v>
      </c>
      <c r="P299" s="20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32" t="s">
        <v>147</v>
      </c>
      <c r="W299" s="14">
        <v>2023</v>
      </c>
      <c r="X299" s="14">
        <v>2023</v>
      </c>
      <c r="Y299" s="14">
        <v>7.2361270000000005E-2</v>
      </c>
      <c r="Z299" s="14">
        <v>2024</v>
      </c>
      <c r="AA299" s="14">
        <v>2024</v>
      </c>
      <c r="AB299" s="14">
        <v>0.29743872999999998</v>
      </c>
      <c r="AC299" s="14">
        <f t="shared" si="24"/>
        <v>2024</v>
      </c>
      <c r="AD299" s="14" t="s">
        <v>481</v>
      </c>
    </row>
    <row r="300" spans="1:30" ht="45" x14ac:dyDescent="0.2">
      <c r="A300" s="1" t="s">
        <v>258</v>
      </c>
      <c r="B300" s="14" t="s">
        <v>399</v>
      </c>
      <c r="C300" s="13" t="s">
        <v>83</v>
      </c>
      <c r="D300" s="1" t="s">
        <v>31</v>
      </c>
      <c r="E300" s="12" t="s">
        <v>12</v>
      </c>
      <c r="F300" s="1" t="s">
        <v>12</v>
      </c>
      <c r="G300" s="11" t="s">
        <v>12</v>
      </c>
      <c r="H300" s="1" t="s">
        <v>12</v>
      </c>
      <c r="I300" s="14" t="s">
        <v>146</v>
      </c>
      <c r="J300" s="20">
        <v>2.1289000000000002</v>
      </c>
      <c r="K300" s="20">
        <f t="shared" si="25"/>
        <v>2.0348853</v>
      </c>
      <c r="L300" s="20">
        <v>0</v>
      </c>
      <c r="M300" s="20">
        <v>7.6429500000000011E-2</v>
      </c>
      <c r="N300" s="20">
        <f>1958.4558/1000</f>
        <v>1.9584557999999999</v>
      </c>
      <c r="O300" s="20">
        <v>0</v>
      </c>
      <c r="P300" s="20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32" t="s">
        <v>147</v>
      </c>
      <c r="W300" s="14">
        <v>2023</v>
      </c>
      <c r="X300" s="14">
        <v>2023</v>
      </c>
      <c r="Y300" s="14">
        <v>7.6429499999999997E-2</v>
      </c>
      <c r="Z300" s="14">
        <v>2024</v>
      </c>
      <c r="AA300" s="14">
        <v>2024</v>
      </c>
      <c r="AB300" s="14">
        <v>2.0524705000000001</v>
      </c>
      <c r="AC300" s="14">
        <f t="shared" si="24"/>
        <v>2024</v>
      </c>
      <c r="AD300" s="14" t="s">
        <v>481</v>
      </c>
    </row>
    <row r="301" spans="1:30" ht="67.5" x14ac:dyDescent="0.2">
      <c r="A301" s="1" t="s">
        <v>258</v>
      </c>
      <c r="B301" s="14" t="s">
        <v>400</v>
      </c>
      <c r="C301" s="13" t="s">
        <v>84</v>
      </c>
      <c r="D301" s="1" t="s">
        <v>31</v>
      </c>
      <c r="E301" s="12">
        <v>6.9210000000000003</v>
      </c>
      <c r="F301" s="1">
        <v>220.74</v>
      </c>
      <c r="G301" s="11">
        <v>415.66</v>
      </c>
      <c r="H301" s="1" t="s">
        <v>12</v>
      </c>
      <c r="I301" s="14" t="s">
        <v>146</v>
      </c>
      <c r="J301" s="20">
        <v>53.172008339999998</v>
      </c>
      <c r="K301" s="20">
        <v>53.172008339999998</v>
      </c>
      <c r="L301" s="20">
        <v>0</v>
      </c>
      <c r="M301" s="20">
        <v>53.172008339999998</v>
      </c>
      <c r="N301" s="20">
        <v>0</v>
      </c>
      <c r="O301" s="20">
        <v>0</v>
      </c>
      <c r="P301" s="20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32" t="s">
        <v>145</v>
      </c>
      <c r="W301" s="14">
        <v>2023</v>
      </c>
      <c r="X301" s="14">
        <v>2023</v>
      </c>
      <c r="Y301" s="14">
        <v>3.2946103300000003</v>
      </c>
      <c r="Z301" s="14">
        <v>2023</v>
      </c>
      <c r="AA301" s="14">
        <v>2023</v>
      </c>
      <c r="AB301" s="14">
        <v>49.87739801</v>
      </c>
      <c r="AC301" s="14">
        <f t="shared" si="24"/>
        <v>2023</v>
      </c>
      <c r="AD301" s="14" t="s">
        <v>481</v>
      </c>
    </row>
    <row r="302" spans="1:30" ht="56.25" x14ac:dyDescent="0.2">
      <c r="A302" s="1" t="s">
        <v>258</v>
      </c>
      <c r="B302" s="14" t="s">
        <v>401</v>
      </c>
      <c r="C302" s="13" t="s">
        <v>85</v>
      </c>
      <c r="D302" s="1" t="s">
        <v>31</v>
      </c>
      <c r="E302" s="12" t="s">
        <v>12</v>
      </c>
      <c r="F302" s="1">
        <v>1232.3</v>
      </c>
      <c r="G302" s="11">
        <v>3347.62</v>
      </c>
      <c r="H302" s="1" t="s">
        <v>12</v>
      </c>
      <c r="I302" s="14" t="s">
        <v>146</v>
      </c>
      <c r="J302" s="20">
        <v>5.6691600000000006</v>
      </c>
      <c r="K302" s="16">
        <f>L302+M302+N302+O302</f>
        <v>5.6691600000000006</v>
      </c>
      <c r="L302" s="20">
        <v>0</v>
      </c>
      <c r="M302" s="20">
        <v>0.32444492000000003</v>
      </c>
      <c r="N302" s="20">
        <f>2637.77279/1000</f>
        <v>2.6377727900000001</v>
      </c>
      <c r="O302" s="16">
        <v>2.7069422900000006</v>
      </c>
      <c r="P302" s="20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32" t="s">
        <v>147</v>
      </c>
      <c r="W302" s="14">
        <v>2023</v>
      </c>
      <c r="X302" s="14">
        <v>2023</v>
      </c>
      <c r="Y302" s="14">
        <v>0.32444491999999997</v>
      </c>
      <c r="Z302" s="14">
        <v>2024</v>
      </c>
      <c r="AA302" s="14">
        <v>2025</v>
      </c>
      <c r="AB302" s="14">
        <v>5.3447150800000003</v>
      </c>
      <c r="AC302" s="14">
        <f t="shared" si="24"/>
        <v>2025</v>
      </c>
      <c r="AD302" s="14" t="s">
        <v>481</v>
      </c>
    </row>
    <row r="303" spans="1:30" ht="67.5" x14ac:dyDescent="0.2">
      <c r="A303" s="1" t="s">
        <v>258</v>
      </c>
      <c r="B303" s="14" t="s">
        <v>402</v>
      </c>
      <c r="C303" s="13" t="s">
        <v>86</v>
      </c>
      <c r="D303" s="1" t="s">
        <v>31</v>
      </c>
      <c r="E303" s="12" t="s">
        <v>12</v>
      </c>
      <c r="F303" s="1">
        <v>380</v>
      </c>
      <c r="G303" s="11">
        <v>1032.93</v>
      </c>
      <c r="H303" s="1" t="s">
        <v>12</v>
      </c>
      <c r="I303" s="14" t="s">
        <v>146</v>
      </c>
      <c r="J303" s="20">
        <v>1.77678</v>
      </c>
      <c r="K303" s="20">
        <f t="shared" ref="K303" si="26">L303+M303+N303</f>
        <v>2.0667880300000001</v>
      </c>
      <c r="L303" s="20">
        <v>0</v>
      </c>
      <c r="M303" s="20">
        <v>0.22728395000000001</v>
      </c>
      <c r="N303" s="20">
        <f>1839.50408/1000</f>
        <v>1.83950408</v>
      </c>
      <c r="O303" s="20">
        <v>0</v>
      </c>
      <c r="P303" s="20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32" t="s">
        <v>147</v>
      </c>
      <c r="W303" s="14">
        <v>2023</v>
      </c>
      <c r="X303" s="14">
        <v>2023</v>
      </c>
      <c r="Y303" s="14">
        <v>0.32444491999999997</v>
      </c>
      <c r="Z303" s="14">
        <v>2024</v>
      </c>
      <c r="AA303" s="14">
        <v>2024</v>
      </c>
      <c r="AB303" s="14">
        <v>1.4523350800000001</v>
      </c>
      <c r="AC303" s="14">
        <f t="shared" si="24"/>
        <v>2024</v>
      </c>
      <c r="AD303" s="14" t="s">
        <v>481</v>
      </c>
    </row>
    <row r="304" spans="1:30" ht="45" x14ac:dyDescent="0.2">
      <c r="A304" s="1" t="s">
        <v>258</v>
      </c>
      <c r="B304" s="14" t="s">
        <v>403</v>
      </c>
      <c r="C304" s="13" t="s">
        <v>87</v>
      </c>
      <c r="D304" s="1" t="s">
        <v>31</v>
      </c>
      <c r="E304" s="12" t="s">
        <v>12</v>
      </c>
      <c r="F304" s="1">
        <v>296.60000000000002</v>
      </c>
      <c r="G304" s="11">
        <v>805.73170000000005</v>
      </c>
      <c r="H304" s="1" t="s">
        <v>12</v>
      </c>
      <c r="I304" s="14" t="s">
        <v>146</v>
      </c>
      <c r="J304" s="20">
        <v>3.05918</v>
      </c>
      <c r="K304" s="16">
        <f>L304+M304+N304+O304</f>
        <v>3.05918</v>
      </c>
      <c r="L304" s="20">
        <v>0</v>
      </c>
      <c r="M304" s="20">
        <v>0.22649028999999998</v>
      </c>
      <c r="N304" s="20">
        <f>2365.84426/1000</f>
        <v>2.3658442599999998</v>
      </c>
      <c r="O304" s="16">
        <v>0.46684545</v>
      </c>
      <c r="P304" s="20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32" t="s">
        <v>147</v>
      </c>
      <c r="W304" s="14">
        <v>2023</v>
      </c>
      <c r="X304" s="14">
        <v>2023</v>
      </c>
      <c r="Y304" s="14">
        <v>0.22649029000000001</v>
      </c>
      <c r="Z304" s="14">
        <v>2024</v>
      </c>
      <c r="AA304" s="14">
        <v>2025</v>
      </c>
      <c r="AB304" s="14">
        <f>K304-Y304</f>
        <v>2.8326897099999999</v>
      </c>
      <c r="AC304" s="14">
        <f t="shared" si="24"/>
        <v>2025</v>
      </c>
      <c r="AD304" s="14" t="s">
        <v>481</v>
      </c>
    </row>
    <row r="305" spans="1:30" ht="67.5" x14ac:dyDescent="0.2">
      <c r="A305" s="1" t="s">
        <v>258</v>
      </c>
      <c r="B305" s="14" t="s">
        <v>404</v>
      </c>
      <c r="C305" s="13" t="s">
        <v>88</v>
      </c>
      <c r="D305" s="1">
        <v>0</v>
      </c>
      <c r="E305" s="12">
        <v>1.7284999999999999</v>
      </c>
      <c r="F305" s="1" t="s">
        <v>12</v>
      </c>
      <c r="G305" s="11" t="s">
        <v>12</v>
      </c>
      <c r="H305" s="1">
        <v>0</v>
      </c>
      <c r="I305" s="14" t="s">
        <v>146</v>
      </c>
      <c r="J305" s="20">
        <v>8.7388100000000009</v>
      </c>
      <c r="K305" s="20">
        <f t="shared" ref="K305" si="27">L305+M305+N305</f>
        <v>7.94618526</v>
      </c>
      <c r="L305" s="20">
        <v>0</v>
      </c>
      <c r="M305" s="20">
        <v>7.6762750899999999</v>
      </c>
      <c r="N305" s="20">
        <f>269.91017/1000</f>
        <v>0.26991017</v>
      </c>
      <c r="O305" s="20">
        <v>0</v>
      </c>
      <c r="P305" s="20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32" t="s">
        <v>147</v>
      </c>
      <c r="W305" s="14">
        <v>2021</v>
      </c>
      <c r="X305" s="14">
        <v>2022</v>
      </c>
      <c r="Y305" s="14">
        <v>0.44080055000000001</v>
      </c>
      <c r="Z305" s="14">
        <v>2023</v>
      </c>
      <c r="AA305" s="14">
        <v>2024</v>
      </c>
      <c r="AB305" s="14">
        <v>8.2980094500000003</v>
      </c>
      <c r="AC305" s="14">
        <f t="shared" si="24"/>
        <v>2024</v>
      </c>
      <c r="AD305" s="14" t="s">
        <v>481</v>
      </c>
    </row>
    <row r="306" spans="1:30" ht="45" x14ac:dyDescent="0.2">
      <c r="A306" s="1" t="s">
        <v>258</v>
      </c>
      <c r="B306" s="14" t="s">
        <v>405</v>
      </c>
      <c r="C306" s="13" t="s">
        <v>89</v>
      </c>
      <c r="D306" s="1" t="s">
        <v>31</v>
      </c>
      <c r="E306" s="12">
        <v>3.43</v>
      </c>
      <c r="F306" s="1">
        <v>235.68</v>
      </c>
      <c r="G306" s="11">
        <v>497.37</v>
      </c>
      <c r="H306" s="1" t="s">
        <v>12</v>
      </c>
      <c r="I306" s="14" t="s">
        <v>146</v>
      </c>
      <c r="J306" s="20">
        <v>35.385636439999999</v>
      </c>
      <c r="K306" s="16">
        <f>L306+M306+N306+O306</f>
        <v>35.385636439999992</v>
      </c>
      <c r="L306" s="20">
        <v>0</v>
      </c>
      <c r="M306" s="20">
        <v>0.71307894999999999</v>
      </c>
      <c r="N306" s="20">
        <f>727.63771/1000</f>
        <v>0.72763770999999999</v>
      </c>
      <c r="O306" s="23">
        <v>33.944919779999992</v>
      </c>
      <c r="P306" s="20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32" t="s">
        <v>145</v>
      </c>
      <c r="W306" s="14">
        <v>2023</v>
      </c>
      <c r="X306" s="14">
        <v>2024</v>
      </c>
      <c r="Y306" s="14">
        <f>1440716.66/1000000</f>
        <v>1.4407166599999999</v>
      </c>
      <c r="Z306" s="14">
        <v>2025</v>
      </c>
      <c r="AA306" s="14">
        <v>2025</v>
      </c>
      <c r="AB306" s="14">
        <f>J306-Y306</f>
        <v>33.944919779999999</v>
      </c>
      <c r="AC306" s="14">
        <f t="shared" si="24"/>
        <v>2025</v>
      </c>
      <c r="AD306" s="14" t="s">
        <v>481</v>
      </c>
    </row>
    <row r="307" spans="1:30" ht="67.5" x14ac:dyDescent="0.2">
      <c r="A307" s="1" t="s">
        <v>258</v>
      </c>
      <c r="B307" s="14" t="s">
        <v>406</v>
      </c>
      <c r="C307" s="13" t="s">
        <v>90</v>
      </c>
      <c r="D307" s="1" t="s">
        <v>31</v>
      </c>
      <c r="E307" s="12">
        <v>0.41058</v>
      </c>
      <c r="F307" s="1" t="s">
        <v>12</v>
      </c>
      <c r="G307" s="11" t="s">
        <v>12</v>
      </c>
      <c r="H307" s="1" t="s">
        <v>12</v>
      </c>
      <c r="I307" s="14" t="s">
        <v>146</v>
      </c>
      <c r="J307" s="20">
        <v>3.5822499400000001</v>
      </c>
      <c r="K307" s="20">
        <v>3.13340715</v>
      </c>
      <c r="L307" s="20">
        <v>0</v>
      </c>
      <c r="M307" s="20">
        <v>3.13340715</v>
      </c>
      <c r="N307" s="20">
        <v>0</v>
      </c>
      <c r="O307" s="20">
        <v>0</v>
      </c>
      <c r="P307" s="20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32" t="s">
        <v>147</v>
      </c>
      <c r="W307" s="14">
        <v>2021</v>
      </c>
      <c r="X307" s="14">
        <v>2022</v>
      </c>
      <c r="Y307" s="14">
        <v>0.44884278999999999</v>
      </c>
      <c r="Z307" s="14">
        <v>2023</v>
      </c>
      <c r="AA307" s="14">
        <v>2023</v>
      </c>
      <c r="AB307" s="14">
        <v>3.13340715</v>
      </c>
      <c r="AC307" s="14">
        <f t="shared" si="24"/>
        <v>2023</v>
      </c>
      <c r="AD307" s="14" t="s">
        <v>481</v>
      </c>
    </row>
    <row r="308" spans="1:30" ht="56.25" x14ac:dyDescent="0.2">
      <c r="A308" s="1" t="s">
        <v>258</v>
      </c>
      <c r="B308" s="14" t="s">
        <v>407</v>
      </c>
      <c r="C308" s="13" t="s">
        <v>91</v>
      </c>
      <c r="D308" s="1" t="s">
        <v>31</v>
      </c>
      <c r="E308" s="12" t="s">
        <v>12</v>
      </c>
      <c r="F308" s="1">
        <v>860</v>
      </c>
      <c r="G308" s="11">
        <v>2336.2420000000002</v>
      </c>
      <c r="H308" s="1" t="s">
        <v>12</v>
      </c>
      <c r="I308" s="14" t="s">
        <v>146</v>
      </c>
      <c r="J308" s="20">
        <v>3.1646399999999999</v>
      </c>
      <c r="K308" s="16">
        <f>L308+M308+N308+O308</f>
        <v>3.1646399999999999</v>
      </c>
      <c r="L308" s="20">
        <v>0</v>
      </c>
      <c r="M308" s="20">
        <v>0.22830250000000002</v>
      </c>
      <c r="N308" s="20">
        <f>2534.9676/1000</f>
        <v>2.5349675999999999</v>
      </c>
      <c r="O308" s="16">
        <v>0.4013699</v>
      </c>
      <c r="P308" s="20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32" t="s">
        <v>147</v>
      </c>
      <c r="W308" s="14">
        <v>2023</v>
      </c>
      <c r="X308" s="14">
        <v>2023</v>
      </c>
      <c r="Y308" s="14">
        <f>228302.5/1000000</f>
        <v>0.22830249999999999</v>
      </c>
      <c r="Z308" s="14">
        <v>2024</v>
      </c>
      <c r="AA308" s="14">
        <v>2025</v>
      </c>
      <c r="AB308" s="14">
        <f>K308-Y308</f>
        <v>2.9363375</v>
      </c>
      <c r="AC308" s="14">
        <f t="shared" si="24"/>
        <v>2025</v>
      </c>
      <c r="AD308" s="14" t="s">
        <v>481</v>
      </c>
    </row>
    <row r="309" spans="1:30" ht="67.5" x14ac:dyDescent="0.2">
      <c r="A309" s="1" t="s">
        <v>258</v>
      </c>
      <c r="B309" s="14" t="s">
        <v>408</v>
      </c>
      <c r="C309" s="13" t="s">
        <v>92</v>
      </c>
      <c r="D309" s="1" t="s">
        <v>31</v>
      </c>
      <c r="E309" s="12">
        <v>0.30419999999999997</v>
      </c>
      <c r="F309" s="1">
        <v>3.33</v>
      </c>
      <c r="G309" s="11">
        <v>9.0500000000000007</v>
      </c>
      <c r="H309" s="1" t="s">
        <v>12</v>
      </c>
      <c r="I309" s="14" t="s">
        <v>146</v>
      </c>
      <c r="J309" s="20">
        <v>1.4115062899999999</v>
      </c>
      <c r="K309" s="20">
        <v>1.4115062899999999</v>
      </c>
      <c r="L309" s="20">
        <v>0</v>
      </c>
      <c r="M309" s="20">
        <v>1.4115062899999999</v>
      </c>
      <c r="N309" s="20">
        <v>0</v>
      </c>
      <c r="O309" s="20">
        <v>0</v>
      </c>
      <c r="P309" s="20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32" t="s">
        <v>145</v>
      </c>
      <c r="W309" s="14">
        <v>2023</v>
      </c>
      <c r="X309" s="14">
        <v>2023</v>
      </c>
      <c r="Y309" s="14">
        <v>0.12730614000000001</v>
      </c>
      <c r="Z309" s="14">
        <v>2023</v>
      </c>
      <c r="AA309" s="14">
        <v>2023</v>
      </c>
      <c r="AB309" s="14">
        <v>1.28420015</v>
      </c>
      <c r="AC309" s="14">
        <f t="shared" si="24"/>
        <v>2023</v>
      </c>
      <c r="AD309" s="14" t="s">
        <v>481</v>
      </c>
    </row>
    <row r="310" spans="1:30" ht="33.75" x14ac:dyDescent="0.2">
      <c r="A310" s="1" t="s">
        <v>258</v>
      </c>
      <c r="B310" s="14" t="s">
        <v>409</v>
      </c>
      <c r="C310" s="13" t="s">
        <v>93</v>
      </c>
      <c r="D310" s="1">
        <v>0</v>
      </c>
      <c r="E310" s="12">
        <v>3.2890000000000001</v>
      </c>
      <c r="F310" s="1">
        <v>101</v>
      </c>
      <c r="G310" s="11">
        <v>181.8</v>
      </c>
      <c r="H310" s="1">
        <v>0</v>
      </c>
      <c r="I310" s="14" t="s">
        <v>146</v>
      </c>
      <c r="J310" s="20">
        <v>31.293768400000001</v>
      </c>
      <c r="K310" s="20">
        <f t="shared" ref="K310" si="28">L310+M310+N310</f>
        <v>29.66334599</v>
      </c>
      <c r="L310" s="20">
        <v>0</v>
      </c>
      <c r="M310" s="20">
        <v>6.4186312500000007</v>
      </c>
      <c r="N310" s="20">
        <f>23244.71474/1000</f>
        <v>23.244714739999999</v>
      </c>
      <c r="O310" s="20">
        <v>0</v>
      </c>
      <c r="P310" s="20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32" t="s">
        <v>145</v>
      </c>
      <c r="W310" s="14">
        <v>2021</v>
      </c>
      <c r="X310" s="14">
        <v>2021</v>
      </c>
      <c r="Y310" s="14">
        <v>1.3458657700000001</v>
      </c>
      <c r="Z310" s="14">
        <v>2023</v>
      </c>
      <c r="AA310" s="14">
        <v>2024</v>
      </c>
      <c r="AB310" s="14">
        <v>29.947902630000002</v>
      </c>
      <c r="AC310" s="14">
        <f t="shared" si="24"/>
        <v>2024</v>
      </c>
      <c r="AD310" s="14" t="s">
        <v>481</v>
      </c>
    </row>
    <row r="311" spans="1:30" ht="33.75" x14ac:dyDescent="0.2">
      <c r="A311" s="1" t="s">
        <v>258</v>
      </c>
      <c r="B311" s="14" t="s">
        <v>410</v>
      </c>
      <c r="C311" s="13" t="s">
        <v>94</v>
      </c>
      <c r="D311" s="1" t="s">
        <v>31</v>
      </c>
      <c r="E311" s="12">
        <v>1.7000000000000001E-2</v>
      </c>
      <c r="F311" s="1">
        <v>2.65</v>
      </c>
      <c r="G311" s="11">
        <v>4.7699999999999996</v>
      </c>
      <c r="H311" s="1" t="s">
        <v>12</v>
      </c>
      <c r="I311" s="14" t="s">
        <v>146</v>
      </c>
      <c r="J311" s="20">
        <v>0.55667999999999995</v>
      </c>
      <c r="K311" s="16">
        <f>L311+M311+N311+O311</f>
        <v>0.55667999999999995</v>
      </c>
      <c r="L311" s="20">
        <v>0</v>
      </c>
      <c r="M311" s="20">
        <v>0</v>
      </c>
      <c r="N311" s="20">
        <f>153986.09/1000000</f>
        <v>0.15398608999999999</v>
      </c>
      <c r="O311" s="16">
        <v>0.40269390999999999</v>
      </c>
      <c r="P311" s="20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32" t="s">
        <v>145</v>
      </c>
      <c r="W311" s="14">
        <v>2024</v>
      </c>
      <c r="X311" s="14">
        <v>2024</v>
      </c>
      <c r="Y311" s="14">
        <f>N311</f>
        <v>0.15398608999999999</v>
      </c>
      <c r="Z311" s="14">
        <v>2025</v>
      </c>
      <c r="AA311" s="14">
        <v>2025</v>
      </c>
      <c r="AB311" s="14">
        <f>K311-N311</f>
        <v>0.40269390999999999</v>
      </c>
      <c r="AC311" s="14">
        <f t="shared" si="24"/>
        <v>2025</v>
      </c>
      <c r="AD311" s="14" t="s">
        <v>481</v>
      </c>
    </row>
    <row r="312" spans="1:30" ht="78.75" x14ac:dyDescent="0.2">
      <c r="A312" s="1" t="s">
        <v>258</v>
      </c>
      <c r="B312" s="14" t="s">
        <v>411</v>
      </c>
      <c r="C312" s="13" t="s">
        <v>95</v>
      </c>
      <c r="D312" s="1" t="s">
        <v>31</v>
      </c>
      <c r="E312" s="12">
        <v>0.89900000000000002</v>
      </c>
      <c r="F312" s="1" t="s">
        <v>12</v>
      </c>
      <c r="G312" s="11" t="s">
        <v>12</v>
      </c>
      <c r="H312" s="1" t="s">
        <v>12</v>
      </c>
      <c r="I312" s="14" t="s">
        <v>146</v>
      </c>
      <c r="J312" s="20">
        <v>10.91764</v>
      </c>
      <c r="K312" s="16">
        <f t="shared" ref="K312:K334" si="29">L312+M312+N312+O312</f>
        <v>10.91764</v>
      </c>
      <c r="L312" s="20">
        <v>0</v>
      </c>
      <c r="M312" s="20">
        <v>0</v>
      </c>
      <c r="N312" s="20">
        <f>973509.88/1000000</f>
        <v>0.97350988000000005</v>
      </c>
      <c r="O312" s="16">
        <v>9.9441301200000005</v>
      </c>
      <c r="P312" s="20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32" t="s">
        <v>147</v>
      </c>
      <c r="W312" s="14">
        <v>2024</v>
      </c>
      <c r="X312" s="14">
        <v>2024</v>
      </c>
      <c r="Y312" s="14">
        <f>N312</f>
        <v>0.97350988000000005</v>
      </c>
      <c r="Z312" s="14">
        <v>2025</v>
      </c>
      <c r="AA312" s="14">
        <v>2025</v>
      </c>
      <c r="AB312" s="14">
        <f>O312</f>
        <v>9.9441301200000005</v>
      </c>
      <c r="AC312" s="14">
        <f t="shared" si="24"/>
        <v>2025</v>
      </c>
      <c r="AD312" s="14" t="s">
        <v>481</v>
      </c>
    </row>
    <row r="313" spans="1:30" ht="90" x14ac:dyDescent="0.2">
      <c r="A313" s="1" t="s">
        <v>258</v>
      </c>
      <c r="B313" s="14" t="s">
        <v>412</v>
      </c>
      <c r="C313" s="13" t="s">
        <v>96</v>
      </c>
      <c r="D313" s="1" t="s">
        <v>31</v>
      </c>
      <c r="E313" s="12" t="s">
        <v>12</v>
      </c>
      <c r="F313" s="1" t="s">
        <v>12</v>
      </c>
      <c r="G313" s="11" t="s">
        <v>12</v>
      </c>
      <c r="H313" s="1" t="s">
        <v>12</v>
      </c>
      <c r="I313" s="14" t="s">
        <v>146</v>
      </c>
      <c r="J313" s="20">
        <v>6.1332399999999998</v>
      </c>
      <c r="K313" s="16">
        <f>L313+M313+N313+O313</f>
        <v>6.1332399999999998</v>
      </c>
      <c r="L313" s="20">
        <v>0</v>
      </c>
      <c r="M313" s="20">
        <v>0</v>
      </c>
      <c r="N313" s="20">
        <f>116049.97/1000000</f>
        <v>0.11604997</v>
      </c>
      <c r="O313" s="16">
        <v>6.0171900300000001</v>
      </c>
      <c r="P313" s="20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32" t="s">
        <v>147</v>
      </c>
      <c r="W313" s="14">
        <v>2024</v>
      </c>
      <c r="X313" s="14">
        <v>2024</v>
      </c>
      <c r="Y313" s="14">
        <f>0.11604997+4929.72*2/1000000</f>
        <v>0.12590941</v>
      </c>
      <c r="Z313" s="14">
        <v>2025</v>
      </c>
      <c r="AA313" s="14">
        <v>2025</v>
      </c>
      <c r="AB313" s="16">
        <f>K313-Y313</f>
        <v>6.0073305899999996</v>
      </c>
      <c r="AC313" s="14">
        <f t="shared" si="24"/>
        <v>2025</v>
      </c>
      <c r="AD313" s="14" t="s">
        <v>481</v>
      </c>
    </row>
    <row r="314" spans="1:30" ht="67.5" x14ac:dyDescent="0.2">
      <c r="A314" s="1" t="s">
        <v>258</v>
      </c>
      <c r="B314" s="14" t="s">
        <v>413</v>
      </c>
      <c r="C314" s="13" t="s">
        <v>97</v>
      </c>
      <c r="D314" s="1" t="s">
        <v>31</v>
      </c>
      <c r="E314" s="12" t="s">
        <v>12</v>
      </c>
      <c r="F314" s="1">
        <v>117</v>
      </c>
      <c r="G314" s="11">
        <v>286.64999999999998</v>
      </c>
      <c r="H314" s="1" t="s">
        <v>12</v>
      </c>
      <c r="I314" s="14" t="s">
        <v>146</v>
      </c>
      <c r="J314" s="20">
        <f>2764480/1000000</f>
        <v>2.7644799999999998</v>
      </c>
      <c r="K314" s="16">
        <f t="shared" si="29"/>
        <v>2.7644799999999998</v>
      </c>
      <c r="L314" s="20">
        <v>0</v>
      </c>
      <c r="M314" s="20">
        <v>0</v>
      </c>
      <c r="N314" s="20">
        <f>211806.4/1000000</f>
        <v>0.21180640000000001</v>
      </c>
      <c r="O314" s="16">
        <v>2.5526735999999999</v>
      </c>
      <c r="P314" s="20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32" t="s">
        <v>147</v>
      </c>
      <c r="W314" s="14">
        <v>2024</v>
      </c>
      <c r="X314" s="14">
        <v>2024</v>
      </c>
      <c r="Y314" s="14">
        <f>N314</f>
        <v>0.21180640000000001</v>
      </c>
      <c r="Z314" s="14">
        <v>2025</v>
      </c>
      <c r="AA314" s="14">
        <v>2025</v>
      </c>
      <c r="AB314" s="14">
        <f>O314</f>
        <v>2.5526735999999999</v>
      </c>
      <c r="AC314" s="14">
        <f t="shared" si="24"/>
        <v>2025</v>
      </c>
      <c r="AD314" s="14" t="s">
        <v>481</v>
      </c>
    </row>
    <row r="315" spans="1:30" ht="67.5" x14ac:dyDescent="0.2">
      <c r="A315" s="1" t="s">
        <v>258</v>
      </c>
      <c r="B315" s="14" t="s">
        <v>414</v>
      </c>
      <c r="C315" s="13" t="s">
        <v>98</v>
      </c>
      <c r="D315" s="1" t="s">
        <v>31</v>
      </c>
      <c r="E315" s="12">
        <v>0.03</v>
      </c>
      <c r="F315" s="1" t="s">
        <v>12</v>
      </c>
      <c r="G315" s="11" t="s">
        <v>12</v>
      </c>
      <c r="H315" s="1" t="s">
        <v>12</v>
      </c>
      <c r="I315" s="14" t="s">
        <v>146</v>
      </c>
      <c r="J315" s="20">
        <f>25377030/1000000</f>
        <v>25.377030000000001</v>
      </c>
      <c r="K315" s="16">
        <f t="shared" si="29"/>
        <v>25.377030000000001</v>
      </c>
      <c r="L315" s="20">
        <v>0</v>
      </c>
      <c r="M315" s="20">
        <v>0</v>
      </c>
      <c r="N315" s="20">
        <f>260805.66/1000000</f>
        <v>0.26080565999999999</v>
      </c>
      <c r="O315" s="16">
        <v>25.116224340000002</v>
      </c>
      <c r="P315" s="20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32" t="s">
        <v>147</v>
      </c>
      <c r="W315" s="14">
        <v>2024</v>
      </c>
      <c r="X315" s="14">
        <v>2024</v>
      </c>
      <c r="Y315" s="14">
        <f>N315+4788.08/1000000</f>
        <v>0.26559374000000002</v>
      </c>
      <c r="Z315" s="14">
        <v>2025</v>
      </c>
      <c r="AA315" s="14">
        <v>2025</v>
      </c>
      <c r="AB315" s="14">
        <f>J315-Y315</f>
        <v>25.111436260000001</v>
      </c>
      <c r="AC315" s="14">
        <f t="shared" si="24"/>
        <v>2025</v>
      </c>
      <c r="AD315" s="14" t="s">
        <v>481</v>
      </c>
    </row>
    <row r="316" spans="1:30" ht="67.5" x14ac:dyDescent="0.2">
      <c r="A316" s="1" t="s">
        <v>258</v>
      </c>
      <c r="B316" s="14" t="s">
        <v>415</v>
      </c>
      <c r="C316" s="13" t="s">
        <v>99</v>
      </c>
      <c r="D316" s="1" t="s">
        <v>31</v>
      </c>
      <c r="E316" s="12">
        <v>7.9299999999999995E-2</v>
      </c>
      <c r="F316" s="1" t="s">
        <v>12</v>
      </c>
      <c r="G316" s="11" t="s">
        <v>12</v>
      </c>
      <c r="H316" s="1" t="s">
        <v>12</v>
      </c>
      <c r="I316" s="14" t="s">
        <v>146</v>
      </c>
      <c r="J316" s="20">
        <f>1338300/1000000</f>
        <v>1.3383</v>
      </c>
      <c r="K316" s="16">
        <f t="shared" si="29"/>
        <v>1.3383</v>
      </c>
      <c r="L316" s="20">
        <v>0</v>
      </c>
      <c r="M316" s="20">
        <v>0</v>
      </c>
      <c r="N316" s="20">
        <f>158963.57/1000000</f>
        <v>0.15896357</v>
      </c>
      <c r="O316" s="16">
        <v>1.17933643</v>
      </c>
      <c r="P316" s="20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32" t="s">
        <v>147</v>
      </c>
      <c r="W316" s="14">
        <v>2024</v>
      </c>
      <c r="X316" s="14">
        <v>2024</v>
      </c>
      <c r="Y316" s="14">
        <v>0.15896357</v>
      </c>
      <c r="Z316" s="14">
        <v>2025</v>
      </c>
      <c r="AA316" s="14">
        <v>2025</v>
      </c>
      <c r="AB316" s="14">
        <v>1.17933643</v>
      </c>
      <c r="AC316" s="14">
        <f t="shared" si="24"/>
        <v>2025</v>
      </c>
      <c r="AD316" s="14" t="s">
        <v>481</v>
      </c>
    </row>
    <row r="317" spans="1:30" ht="67.5" x14ac:dyDescent="0.2">
      <c r="A317" s="1" t="s">
        <v>258</v>
      </c>
      <c r="B317" s="14" t="s">
        <v>416</v>
      </c>
      <c r="C317" s="13" t="s">
        <v>100</v>
      </c>
      <c r="D317" s="1" t="s">
        <v>31</v>
      </c>
      <c r="E317" s="12" t="s">
        <v>12</v>
      </c>
      <c r="F317" s="1" t="s">
        <v>12</v>
      </c>
      <c r="G317" s="11" t="s">
        <v>12</v>
      </c>
      <c r="H317" s="1" t="s">
        <v>12</v>
      </c>
      <c r="I317" s="14" t="s">
        <v>146</v>
      </c>
      <c r="J317" s="20">
        <v>2.2530000000000001</v>
      </c>
      <c r="K317" s="16">
        <f t="shared" si="29"/>
        <v>2.2530000000000001</v>
      </c>
      <c r="L317" s="20">
        <v>0</v>
      </c>
      <c r="M317" s="20">
        <v>0</v>
      </c>
      <c r="N317" s="20">
        <f>109970.58/1000000</f>
        <v>0.10997058</v>
      </c>
      <c r="O317" s="16">
        <v>2.14302942</v>
      </c>
      <c r="P317" s="20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32" t="s">
        <v>147</v>
      </c>
      <c r="W317" s="14">
        <v>2024</v>
      </c>
      <c r="X317" s="14">
        <v>2024</v>
      </c>
      <c r="Y317" s="14">
        <f>N317</f>
        <v>0.10997058</v>
      </c>
      <c r="Z317" s="14">
        <v>2025</v>
      </c>
      <c r="AA317" s="14">
        <v>2025</v>
      </c>
      <c r="AB317" s="14">
        <f>O317</f>
        <v>2.14302942</v>
      </c>
      <c r="AC317" s="14">
        <f t="shared" si="24"/>
        <v>2025</v>
      </c>
      <c r="AD317" s="14" t="s">
        <v>481</v>
      </c>
    </row>
    <row r="318" spans="1:30" ht="45" x14ac:dyDescent="0.2">
      <c r="A318" s="1" t="s">
        <v>258</v>
      </c>
      <c r="B318" s="14" t="s">
        <v>417</v>
      </c>
      <c r="C318" s="13" t="s">
        <v>101</v>
      </c>
      <c r="D318" s="1" t="s">
        <v>31</v>
      </c>
      <c r="E318" s="12" t="s">
        <v>12</v>
      </c>
      <c r="F318" s="1" t="s">
        <v>12</v>
      </c>
      <c r="G318" s="11" t="s">
        <v>12</v>
      </c>
      <c r="H318" s="1" t="s">
        <v>12</v>
      </c>
      <c r="I318" s="14" t="s">
        <v>146</v>
      </c>
      <c r="J318" s="20">
        <v>2.1936900000000001</v>
      </c>
      <c r="K318" s="16">
        <f t="shared" si="29"/>
        <v>2.1936900000000001</v>
      </c>
      <c r="L318" s="20">
        <v>0</v>
      </c>
      <c r="M318" s="20">
        <v>0</v>
      </c>
      <c r="N318" s="20">
        <f>117636.76/1000000</f>
        <v>0.11763675999999999</v>
      </c>
      <c r="O318" s="16">
        <f>J318-N318</f>
        <v>2.0760532400000002</v>
      </c>
      <c r="P318" s="20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32" t="s">
        <v>147</v>
      </c>
      <c r="W318" s="14">
        <v>2024</v>
      </c>
      <c r="X318" s="14">
        <v>2024</v>
      </c>
      <c r="Y318" s="14">
        <f>N318</f>
        <v>0.11763675999999999</v>
      </c>
      <c r="Z318" s="14">
        <v>2025</v>
      </c>
      <c r="AA318" s="14">
        <v>2025</v>
      </c>
      <c r="AB318" s="14">
        <f>O318</f>
        <v>2.0760532400000002</v>
      </c>
      <c r="AC318" s="14">
        <f t="shared" si="24"/>
        <v>2025</v>
      </c>
      <c r="AD318" s="14" t="s">
        <v>481</v>
      </c>
    </row>
    <row r="319" spans="1:30" ht="56.25" x14ac:dyDescent="0.2">
      <c r="A319" s="1" t="s">
        <v>258</v>
      </c>
      <c r="B319" s="14" t="s">
        <v>418</v>
      </c>
      <c r="C319" s="13" t="s">
        <v>102</v>
      </c>
      <c r="D319" s="1" t="s">
        <v>31</v>
      </c>
      <c r="E319" s="12" t="s">
        <v>12</v>
      </c>
      <c r="F319" s="1">
        <v>27971</v>
      </c>
      <c r="G319" s="11">
        <v>75984.899999999994</v>
      </c>
      <c r="H319" s="1" t="s">
        <v>12</v>
      </c>
      <c r="I319" s="14" t="s">
        <v>146</v>
      </c>
      <c r="J319" s="20">
        <v>64.431260000000009</v>
      </c>
      <c r="K319" s="16">
        <f t="shared" si="29"/>
        <v>64.431260000000009</v>
      </c>
      <c r="L319" s="20">
        <v>0</v>
      </c>
      <c r="M319" s="20">
        <v>0</v>
      </c>
      <c r="N319" s="20">
        <f>526755.01/1000000</f>
        <v>0.52675501000000002</v>
      </c>
      <c r="O319" s="16">
        <v>63.904504990000007</v>
      </c>
      <c r="P319" s="20">
        <v>0</v>
      </c>
      <c r="Q319" s="21">
        <v>0</v>
      </c>
      <c r="R319" s="1">
        <v>0</v>
      </c>
      <c r="S319" s="1">
        <v>0</v>
      </c>
      <c r="T319" s="1">
        <v>0</v>
      </c>
      <c r="U319" s="1">
        <v>0</v>
      </c>
      <c r="V319" s="32" t="s">
        <v>147</v>
      </c>
      <c r="W319" s="14">
        <v>2024</v>
      </c>
      <c r="X319" s="14">
        <v>2024</v>
      </c>
      <c r="Y319" s="14">
        <f>N319</f>
        <v>0.52675501000000002</v>
      </c>
      <c r="Z319" s="14">
        <v>2025</v>
      </c>
      <c r="AA319" s="14">
        <v>2025</v>
      </c>
      <c r="AB319" s="14">
        <f>O319</f>
        <v>63.904504990000007</v>
      </c>
      <c r="AC319" s="14">
        <f t="shared" si="24"/>
        <v>2025</v>
      </c>
      <c r="AD319" s="14" t="s">
        <v>481</v>
      </c>
    </row>
    <row r="320" spans="1:30" ht="67.5" x14ac:dyDescent="0.2">
      <c r="A320" s="1" t="s">
        <v>258</v>
      </c>
      <c r="B320" s="14" t="s">
        <v>419</v>
      </c>
      <c r="C320" s="13" t="s">
        <v>103</v>
      </c>
      <c r="D320" s="1" t="s">
        <v>31</v>
      </c>
      <c r="E320" s="12" t="s">
        <v>12</v>
      </c>
      <c r="F320" s="1">
        <v>20019</v>
      </c>
      <c r="G320" s="11">
        <v>54382.81</v>
      </c>
      <c r="H320" s="1" t="s">
        <v>12</v>
      </c>
      <c r="I320" s="14" t="s">
        <v>146</v>
      </c>
      <c r="J320" s="20">
        <f>47251720/1000000</f>
        <v>47.251719999999999</v>
      </c>
      <c r="K320" s="16">
        <f t="shared" si="29"/>
        <v>47.251719999999999</v>
      </c>
      <c r="L320" s="20">
        <v>0</v>
      </c>
      <c r="M320" s="20">
        <v>0</v>
      </c>
      <c r="N320" s="20">
        <f>567499.35/1000000</f>
        <v>0.56749934999999996</v>
      </c>
      <c r="O320" s="16">
        <v>46.68422065</v>
      </c>
      <c r="P320" s="20">
        <v>0</v>
      </c>
      <c r="Q320" s="21">
        <v>0</v>
      </c>
      <c r="R320" s="1">
        <v>0</v>
      </c>
      <c r="S320" s="1">
        <v>0</v>
      </c>
      <c r="T320" s="1">
        <v>0</v>
      </c>
      <c r="U320" s="1">
        <v>0</v>
      </c>
      <c r="V320" s="32" t="s">
        <v>147</v>
      </c>
      <c r="W320" s="14">
        <v>2024</v>
      </c>
      <c r="X320" s="14">
        <v>2024</v>
      </c>
      <c r="Y320" s="14">
        <f>N320+4788.08/1000000</f>
        <v>0.57228742999999993</v>
      </c>
      <c r="Z320" s="14">
        <v>2025</v>
      </c>
      <c r="AA320" s="14">
        <v>2025</v>
      </c>
      <c r="AB320" s="14">
        <f>J320-Y320</f>
        <v>46.679432569999996</v>
      </c>
      <c r="AC320" s="14">
        <f t="shared" si="24"/>
        <v>2025</v>
      </c>
      <c r="AD320" s="14" t="s">
        <v>481</v>
      </c>
    </row>
    <row r="321" spans="1:30" ht="45" x14ac:dyDescent="0.2">
      <c r="A321" s="1" t="s">
        <v>258</v>
      </c>
      <c r="B321" s="14" t="s">
        <v>420</v>
      </c>
      <c r="C321" s="13" t="s">
        <v>104</v>
      </c>
      <c r="D321" s="1" t="s">
        <v>31</v>
      </c>
      <c r="E321" s="12" t="s">
        <v>12</v>
      </c>
      <c r="F321" s="1">
        <v>564</v>
      </c>
      <c r="G321" s="11">
        <v>1015</v>
      </c>
      <c r="H321" s="1" t="s">
        <v>12</v>
      </c>
      <c r="I321" s="14" t="s">
        <v>146</v>
      </c>
      <c r="J321" s="20">
        <f>4765840/1000000</f>
        <v>4.7658399999999999</v>
      </c>
      <c r="K321" s="16">
        <f t="shared" si="29"/>
        <v>4.7658399999999999</v>
      </c>
      <c r="L321" s="20">
        <v>0</v>
      </c>
      <c r="M321" s="20">
        <v>0</v>
      </c>
      <c r="N321" s="20">
        <f>243033.56/1000000</f>
        <v>0.24303356000000001</v>
      </c>
      <c r="O321" s="16">
        <v>4.5228064400000001</v>
      </c>
      <c r="P321" s="20">
        <v>0</v>
      </c>
      <c r="Q321" s="21">
        <v>0</v>
      </c>
      <c r="R321" s="1">
        <v>0</v>
      </c>
      <c r="S321" s="1">
        <v>0</v>
      </c>
      <c r="T321" s="1">
        <v>0</v>
      </c>
      <c r="U321" s="1">
        <v>0</v>
      </c>
      <c r="V321" s="32" t="s">
        <v>147</v>
      </c>
      <c r="W321" s="14">
        <v>2024</v>
      </c>
      <c r="X321" s="14">
        <v>2024</v>
      </c>
      <c r="Y321" s="14">
        <f t="shared" ref="Y321:Y327" si="30">N321</f>
        <v>0.24303356000000001</v>
      </c>
      <c r="Z321" s="14">
        <v>2025</v>
      </c>
      <c r="AA321" s="14">
        <v>2025</v>
      </c>
      <c r="AB321" s="14">
        <f>O321</f>
        <v>4.5228064400000001</v>
      </c>
      <c r="AC321" s="14">
        <f t="shared" si="24"/>
        <v>2025</v>
      </c>
      <c r="AD321" s="14" t="s">
        <v>481</v>
      </c>
    </row>
    <row r="322" spans="1:30" ht="67.5" x14ac:dyDescent="0.2">
      <c r="A322" s="1" t="s">
        <v>258</v>
      </c>
      <c r="B322" s="14" t="s">
        <v>421</v>
      </c>
      <c r="C322" s="13" t="s">
        <v>105</v>
      </c>
      <c r="D322" s="1" t="s">
        <v>31</v>
      </c>
      <c r="E322" s="12" t="s">
        <v>12</v>
      </c>
      <c r="F322" s="1">
        <v>609</v>
      </c>
      <c r="G322" s="11">
        <v>1654.385</v>
      </c>
      <c r="H322" s="1" t="s">
        <v>12</v>
      </c>
      <c r="I322" s="14" t="s">
        <v>146</v>
      </c>
      <c r="J322" s="20">
        <f>2336890/1000000</f>
        <v>2.3368899999999999</v>
      </c>
      <c r="K322" s="16">
        <f t="shared" si="29"/>
        <v>2.3368899999999999</v>
      </c>
      <c r="L322" s="20">
        <v>0</v>
      </c>
      <c r="M322" s="20">
        <v>0</v>
      </c>
      <c r="N322" s="20">
        <f>213796.08/1000000</f>
        <v>0.21379608</v>
      </c>
      <c r="O322" s="16">
        <v>2.1230939200000001</v>
      </c>
      <c r="P322" s="20">
        <v>0</v>
      </c>
      <c r="Q322" s="21">
        <v>0</v>
      </c>
      <c r="R322" s="1">
        <v>0</v>
      </c>
      <c r="S322" s="1">
        <v>0</v>
      </c>
      <c r="T322" s="1">
        <v>0</v>
      </c>
      <c r="U322" s="1">
        <v>0</v>
      </c>
      <c r="V322" s="32" t="s">
        <v>147</v>
      </c>
      <c r="W322" s="14">
        <v>2024</v>
      </c>
      <c r="X322" s="14">
        <v>2024</v>
      </c>
      <c r="Y322" s="14">
        <f t="shared" si="30"/>
        <v>0.21379608</v>
      </c>
      <c r="Z322" s="14">
        <v>2025</v>
      </c>
      <c r="AA322" s="14">
        <v>2025</v>
      </c>
      <c r="AB322" s="14">
        <f>J322-Y322</f>
        <v>2.1230939200000001</v>
      </c>
      <c r="AC322" s="14">
        <f t="shared" si="24"/>
        <v>2025</v>
      </c>
      <c r="AD322" s="14" t="s">
        <v>481</v>
      </c>
    </row>
    <row r="323" spans="1:30" ht="56.25" x14ac:dyDescent="0.2">
      <c r="A323" s="1" t="s">
        <v>258</v>
      </c>
      <c r="B323" s="14" t="s">
        <v>422</v>
      </c>
      <c r="C323" s="13" t="s">
        <v>106</v>
      </c>
      <c r="D323" s="1" t="s">
        <v>31</v>
      </c>
      <c r="E323" s="12" t="s">
        <v>12</v>
      </c>
      <c r="F323" s="1">
        <v>169</v>
      </c>
      <c r="G323" s="11">
        <v>302</v>
      </c>
      <c r="H323" s="1" t="s">
        <v>12</v>
      </c>
      <c r="I323" s="14" t="s">
        <v>146</v>
      </c>
      <c r="J323" s="45">
        <v>8.3995499999999996</v>
      </c>
      <c r="K323" s="16">
        <f>L323+M323+N323+O323</f>
        <v>8.3995499999999996</v>
      </c>
      <c r="L323" s="20">
        <v>0</v>
      </c>
      <c r="M323" s="20">
        <v>0</v>
      </c>
      <c r="N323" s="20">
        <f>329306.13/1000000</f>
        <v>0.32930613000000003</v>
      </c>
      <c r="O323" s="16">
        <f>J323-N323</f>
        <v>8.0702438699999988</v>
      </c>
      <c r="P323" s="20">
        <v>0</v>
      </c>
      <c r="Q323" s="21">
        <v>0</v>
      </c>
      <c r="R323" s="1">
        <v>0</v>
      </c>
      <c r="S323" s="1">
        <v>0</v>
      </c>
      <c r="T323" s="1">
        <v>0</v>
      </c>
      <c r="U323" s="1">
        <v>0</v>
      </c>
      <c r="V323" s="32" t="s">
        <v>147</v>
      </c>
      <c r="W323" s="14">
        <v>2024</v>
      </c>
      <c r="X323" s="14">
        <v>2024</v>
      </c>
      <c r="Y323" s="14">
        <f t="shared" si="30"/>
        <v>0.32930613000000003</v>
      </c>
      <c r="Z323" s="14">
        <v>2025</v>
      </c>
      <c r="AA323" s="14">
        <v>2025</v>
      </c>
      <c r="AB323" s="16">
        <f>O323</f>
        <v>8.0702438699999988</v>
      </c>
      <c r="AC323" s="14">
        <f t="shared" si="24"/>
        <v>2025</v>
      </c>
      <c r="AD323" s="14" t="s">
        <v>481</v>
      </c>
    </row>
    <row r="324" spans="1:30" ht="56.25" x14ac:dyDescent="0.2">
      <c r="A324" s="1" t="s">
        <v>258</v>
      </c>
      <c r="B324" s="14" t="s">
        <v>423</v>
      </c>
      <c r="C324" s="13" t="s">
        <v>107</v>
      </c>
      <c r="D324" s="1" t="s">
        <v>31</v>
      </c>
      <c r="E324" s="12" t="s">
        <v>12</v>
      </c>
      <c r="F324" s="1">
        <v>1816</v>
      </c>
      <c r="G324" s="11">
        <v>4933.2730000000001</v>
      </c>
      <c r="H324" s="1" t="s">
        <v>12</v>
      </c>
      <c r="I324" s="14" t="s">
        <v>146</v>
      </c>
      <c r="J324" s="20">
        <v>9.2147500000000004</v>
      </c>
      <c r="K324" s="16">
        <f t="shared" si="29"/>
        <v>9.2147500000000004</v>
      </c>
      <c r="L324" s="20">
        <v>0</v>
      </c>
      <c r="M324" s="20">
        <v>0</v>
      </c>
      <c r="N324" s="20">
        <f>288684.04/1000000</f>
        <v>0.28868403999999998</v>
      </c>
      <c r="O324" s="16">
        <v>8.9260659600000007</v>
      </c>
      <c r="P324" s="20">
        <v>0</v>
      </c>
      <c r="Q324" s="21">
        <v>0</v>
      </c>
      <c r="R324" s="1">
        <v>0</v>
      </c>
      <c r="S324" s="1">
        <v>0</v>
      </c>
      <c r="T324" s="1">
        <v>0</v>
      </c>
      <c r="U324" s="1">
        <v>0</v>
      </c>
      <c r="V324" s="32" t="s">
        <v>147</v>
      </c>
      <c r="W324" s="14">
        <v>2024</v>
      </c>
      <c r="X324" s="14">
        <v>2024</v>
      </c>
      <c r="Y324" s="14">
        <f t="shared" si="30"/>
        <v>0.28868403999999998</v>
      </c>
      <c r="Z324" s="14">
        <v>2025</v>
      </c>
      <c r="AA324" s="14">
        <v>2025</v>
      </c>
      <c r="AB324" s="14">
        <f>O324</f>
        <v>8.9260659600000007</v>
      </c>
      <c r="AC324" s="14">
        <f t="shared" si="24"/>
        <v>2025</v>
      </c>
      <c r="AD324" s="14" t="s">
        <v>481</v>
      </c>
    </row>
    <row r="325" spans="1:30" ht="56.25" x14ac:dyDescent="0.2">
      <c r="A325" s="1" t="s">
        <v>258</v>
      </c>
      <c r="B325" s="14" t="s">
        <v>424</v>
      </c>
      <c r="C325" s="13" t="s">
        <v>108</v>
      </c>
      <c r="D325" s="1" t="s">
        <v>31</v>
      </c>
      <c r="E325" s="12" t="s">
        <v>12</v>
      </c>
      <c r="F325" s="1">
        <v>1787</v>
      </c>
      <c r="G325" s="11">
        <v>4854.4930000000004</v>
      </c>
      <c r="H325" s="1" t="s">
        <v>12</v>
      </c>
      <c r="I325" s="14" t="s">
        <v>146</v>
      </c>
      <c r="J325" s="20">
        <v>8.2575699999999994</v>
      </c>
      <c r="K325" s="16">
        <f t="shared" si="29"/>
        <v>8.2575699999999994</v>
      </c>
      <c r="L325" s="20">
        <v>0</v>
      </c>
      <c r="M325" s="20">
        <v>0</v>
      </c>
      <c r="N325" s="20">
        <f>300498.36/1000000</f>
        <v>0.30049835999999996</v>
      </c>
      <c r="O325" s="16">
        <v>7.9570716399999997</v>
      </c>
      <c r="P325" s="20">
        <v>0</v>
      </c>
      <c r="Q325" s="21">
        <v>0</v>
      </c>
      <c r="R325" s="1">
        <v>0</v>
      </c>
      <c r="S325" s="1">
        <v>0</v>
      </c>
      <c r="T325" s="1">
        <v>0</v>
      </c>
      <c r="U325" s="1">
        <v>0</v>
      </c>
      <c r="V325" s="32" t="s">
        <v>147</v>
      </c>
      <c r="W325" s="14">
        <v>2024</v>
      </c>
      <c r="X325" s="14">
        <v>2024</v>
      </c>
      <c r="Y325" s="14">
        <f t="shared" si="30"/>
        <v>0.30049835999999996</v>
      </c>
      <c r="Z325" s="14">
        <v>2025</v>
      </c>
      <c r="AA325" s="14">
        <v>2025</v>
      </c>
      <c r="AB325" s="14">
        <f>O325</f>
        <v>7.9570716399999997</v>
      </c>
      <c r="AC325" s="14">
        <f t="shared" si="24"/>
        <v>2025</v>
      </c>
      <c r="AD325" s="14" t="s">
        <v>481</v>
      </c>
    </row>
    <row r="326" spans="1:30" ht="56.25" x14ac:dyDescent="0.2">
      <c r="A326" s="1" t="s">
        <v>258</v>
      </c>
      <c r="B326" s="14" t="s">
        <v>425</v>
      </c>
      <c r="C326" s="13" t="s">
        <v>109</v>
      </c>
      <c r="D326" s="1" t="s">
        <v>31</v>
      </c>
      <c r="E326" s="12" t="s">
        <v>12</v>
      </c>
      <c r="F326" s="1">
        <v>1138</v>
      </c>
      <c r="G326" s="11">
        <v>3091.4450000000002</v>
      </c>
      <c r="H326" s="1" t="s">
        <v>12</v>
      </c>
      <c r="I326" s="14" t="s">
        <v>146</v>
      </c>
      <c r="J326" s="20">
        <f>7627660/1000000</f>
        <v>7.6276599999999997</v>
      </c>
      <c r="K326" s="16">
        <f t="shared" si="29"/>
        <v>7.6276599999999997</v>
      </c>
      <c r="L326" s="20">
        <v>0</v>
      </c>
      <c r="M326" s="20">
        <v>0</v>
      </c>
      <c r="N326" s="20">
        <f>281017.87/1000000</f>
        <v>0.28101787</v>
      </c>
      <c r="O326" s="16">
        <v>7.3466421299999993</v>
      </c>
      <c r="P326" s="20">
        <v>0</v>
      </c>
      <c r="Q326" s="21">
        <v>0</v>
      </c>
      <c r="R326" s="1">
        <v>0</v>
      </c>
      <c r="S326" s="1">
        <v>0</v>
      </c>
      <c r="T326" s="1">
        <v>0</v>
      </c>
      <c r="U326" s="1">
        <v>0</v>
      </c>
      <c r="V326" s="32" t="s">
        <v>147</v>
      </c>
      <c r="W326" s="14">
        <v>2024</v>
      </c>
      <c r="X326" s="14">
        <v>2024</v>
      </c>
      <c r="Y326" s="14">
        <f t="shared" si="30"/>
        <v>0.28101787</v>
      </c>
      <c r="Z326" s="14">
        <v>2025</v>
      </c>
      <c r="AA326" s="14">
        <v>2025</v>
      </c>
      <c r="AB326" s="14">
        <f>O326</f>
        <v>7.3466421299999993</v>
      </c>
      <c r="AC326" s="14">
        <f t="shared" si="24"/>
        <v>2025</v>
      </c>
      <c r="AD326" s="14" t="s">
        <v>481</v>
      </c>
    </row>
    <row r="327" spans="1:30" ht="33.75" x14ac:dyDescent="0.2">
      <c r="A327" s="1" t="s">
        <v>258</v>
      </c>
      <c r="B327" s="14" t="s">
        <v>426</v>
      </c>
      <c r="C327" s="13" t="s">
        <v>110</v>
      </c>
      <c r="D327" s="1" t="s">
        <v>31</v>
      </c>
      <c r="E327" s="12" t="s">
        <v>12</v>
      </c>
      <c r="F327" s="1">
        <v>6208</v>
      </c>
      <c r="G327" s="11">
        <v>16864.400000000001</v>
      </c>
      <c r="H327" s="1" t="s">
        <v>12</v>
      </c>
      <c r="I327" s="14" t="s">
        <v>146</v>
      </c>
      <c r="J327" s="20">
        <v>26.733329999999999</v>
      </c>
      <c r="K327" s="16">
        <f t="shared" si="29"/>
        <v>26.733329999999999</v>
      </c>
      <c r="L327" s="20">
        <v>0</v>
      </c>
      <c r="M327" s="20">
        <v>0</v>
      </c>
      <c r="N327" s="20">
        <f>774532.29/1000000</f>
        <v>0.77453229000000001</v>
      </c>
      <c r="O327" s="16">
        <f>J327-N327</f>
        <v>25.958797709999999</v>
      </c>
      <c r="P327" s="20">
        <v>0</v>
      </c>
      <c r="Q327" s="21">
        <v>0</v>
      </c>
      <c r="R327" s="1">
        <v>0</v>
      </c>
      <c r="S327" s="1">
        <v>0</v>
      </c>
      <c r="T327" s="1">
        <v>0</v>
      </c>
      <c r="U327" s="1">
        <v>0</v>
      </c>
      <c r="V327" s="32" t="s">
        <v>147</v>
      </c>
      <c r="W327" s="14">
        <v>2024</v>
      </c>
      <c r="X327" s="14">
        <v>2024</v>
      </c>
      <c r="Y327" s="14">
        <f t="shared" si="30"/>
        <v>0.77453229000000001</v>
      </c>
      <c r="Z327" s="14">
        <v>2025</v>
      </c>
      <c r="AA327" s="14">
        <v>2025</v>
      </c>
      <c r="AB327" s="14">
        <f>O327</f>
        <v>25.958797709999999</v>
      </c>
      <c r="AC327" s="14">
        <f t="shared" si="24"/>
        <v>2025</v>
      </c>
      <c r="AD327" s="14" t="s">
        <v>481</v>
      </c>
    </row>
    <row r="328" spans="1:30" ht="33.75" x14ac:dyDescent="0.2">
      <c r="A328" s="1" t="s">
        <v>258</v>
      </c>
      <c r="B328" s="14" t="s">
        <v>427</v>
      </c>
      <c r="C328" s="13" t="s">
        <v>111</v>
      </c>
      <c r="D328" s="1" t="s">
        <v>31</v>
      </c>
      <c r="E328" s="12" t="s">
        <v>12</v>
      </c>
      <c r="F328" s="1" t="s">
        <v>12</v>
      </c>
      <c r="G328" s="11" t="s">
        <v>12</v>
      </c>
      <c r="H328" s="1" t="s">
        <v>12</v>
      </c>
      <c r="I328" s="14" t="s">
        <v>146</v>
      </c>
      <c r="J328" s="20">
        <f>628480/1000000</f>
        <v>0.62848000000000004</v>
      </c>
      <c r="K328" s="16">
        <f t="shared" si="29"/>
        <v>0.62848000000000004</v>
      </c>
      <c r="L328" s="20">
        <v>0</v>
      </c>
      <c r="M328" s="20">
        <v>0</v>
      </c>
      <c r="N328" s="20">
        <f>120272.93/1000000</f>
        <v>0.12027292999999999</v>
      </c>
      <c r="O328" s="16">
        <v>0.50820707000000009</v>
      </c>
      <c r="P328" s="20">
        <v>0</v>
      </c>
      <c r="Q328" s="21">
        <v>0</v>
      </c>
      <c r="R328" s="1">
        <v>0</v>
      </c>
      <c r="S328" s="1">
        <v>0</v>
      </c>
      <c r="T328" s="1">
        <v>0</v>
      </c>
      <c r="U328" s="1">
        <v>0</v>
      </c>
      <c r="V328" s="32" t="s">
        <v>147</v>
      </c>
      <c r="W328" s="14">
        <v>2024</v>
      </c>
      <c r="X328" s="14">
        <v>2024</v>
      </c>
      <c r="Y328" s="14">
        <f>N328+4788.06/1000000</f>
        <v>0.12506098999999998</v>
      </c>
      <c r="Z328" s="14">
        <v>2025</v>
      </c>
      <c r="AA328" s="14">
        <v>2025</v>
      </c>
      <c r="AB328" s="14">
        <f>J328-Y328</f>
        <v>0.50341901</v>
      </c>
      <c r="AC328" s="14">
        <f t="shared" si="24"/>
        <v>2025</v>
      </c>
      <c r="AD328" s="14" t="s">
        <v>481</v>
      </c>
    </row>
    <row r="329" spans="1:30" ht="67.5" x14ac:dyDescent="0.2">
      <c r="A329" s="1" t="s">
        <v>258</v>
      </c>
      <c r="B329" s="14" t="s">
        <v>428</v>
      </c>
      <c r="C329" s="13" t="s">
        <v>112</v>
      </c>
      <c r="D329" s="1" t="s">
        <v>31</v>
      </c>
      <c r="E329" s="12" t="s">
        <v>12</v>
      </c>
      <c r="F329" s="1" t="s">
        <v>12</v>
      </c>
      <c r="G329" s="11" t="s">
        <v>12</v>
      </c>
      <c r="H329" s="1" t="s">
        <v>12</v>
      </c>
      <c r="I329" s="14" t="s">
        <v>146</v>
      </c>
      <c r="J329" s="20">
        <f>1358700/1000000</f>
        <v>1.3587</v>
      </c>
      <c r="K329" s="16">
        <f t="shared" si="29"/>
        <v>1.3587</v>
      </c>
      <c r="L329" s="20">
        <v>0</v>
      </c>
      <c r="M329" s="20">
        <v>0</v>
      </c>
      <c r="N329" s="20">
        <f>188321.33/1000000</f>
        <v>0.18832132999999998</v>
      </c>
      <c r="O329" s="16">
        <v>1.1703786700000001</v>
      </c>
      <c r="P329" s="20">
        <v>0</v>
      </c>
      <c r="Q329" s="21">
        <v>0</v>
      </c>
      <c r="R329" s="1">
        <v>0</v>
      </c>
      <c r="S329" s="1">
        <v>0</v>
      </c>
      <c r="T329" s="1">
        <v>0</v>
      </c>
      <c r="U329" s="1">
        <v>0</v>
      </c>
      <c r="V329" s="32" t="s">
        <v>147</v>
      </c>
      <c r="W329" s="14">
        <v>2024</v>
      </c>
      <c r="X329" s="14">
        <v>2024</v>
      </c>
      <c r="Y329" s="14">
        <f>N329</f>
        <v>0.18832132999999998</v>
      </c>
      <c r="Z329" s="14">
        <v>2025</v>
      </c>
      <c r="AA329" s="14">
        <v>2025</v>
      </c>
      <c r="AB329" s="14">
        <f>O329</f>
        <v>1.1703786700000001</v>
      </c>
      <c r="AC329" s="14">
        <f t="shared" si="24"/>
        <v>2025</v>
      </c>
      <c r="AD329" s="14" t="s">
        <v>481</v>
      </c>
    </row>
    <row r="330" spans="1:30" ht="45" x14ac:dyDescent="0.2">
      <c r="A330" s="1" t="s">
        <v>258</v>
      </c>
      <c r="B330" s="14" t="s">
        <v>429</v>
      </c>
      <c r="C330" s="13" t="s">
        <v>113</v>
      </c>
      <c r="D330" s="1" t="s">
        <v>31</v>
      </c>
      <c r="E330" s="12" t="s">
        <v>12</v>
      </c>
      <c r="F330" s="1" t="s">
        <v>12</v>
      </c>
      <c r="G330" s="11" t="s">
        <v>12</v>
      </c>
      <c r="H330" s="1" t="s">
        <v>12</v>
      </c>
      <c r="I330" s="14" t="s">
        <v>146</v>
      </c>
      <c r="J330" s="20">
        <f>961200/1000000</f>
        <v>0.96120000000000005</v>
      </c>
      <c r="K330" s="16">
        <f t="shared" si="29"/>
        <v>0.96120000000000005</v>
      </c>
      <c r="L330" s="20">
        <v>0</v>
      </c>
      <c r="M330" s="20">
        <v>0</v>
      </c>
      <c r="N330" s="20">
        <f>140544.76/1000000</f>
        <v>0.14054476000000002</v>
      </c>
      <c r="O330" s="16">
        <v>0.82065524000000001</v>
      </c>
      <c r="P330" s="20">
        <v>0</v>
      </c>
      <c r="Q330" s="21">
        <v>0</v>
      </c>
      <c r="R330" s="1">
        <v>0</v>
      </c>
      <c r="S330" s="1">
        <v>0</v>
      </c>
      <c r="T330" s="1">
        <v>0</v>
      </c>
      <c r="U330" s="1">
        <v>0</v>
      </c>
      <c r="V330" s="32" t="s">
        <v>147</v>
      </c>
      <c r="W330" s="14">
        <v>2024</v>
      </c>
      <c r="X330" s="14">
        <v>2024</v>
      </c>
      <c r="Y330" s="14">
        <f>N330+4788.08/1000000</f>
        <v>0.14533284000000002</v>
      </c>
      <c r="Z330" s="14">
        <v>2025</v>
      </c>
      <c r="AA330" s="14">
        <v>2025</v>
      </c>
      <c r="AB330" s="14">
        <f>J330-Y330</f>
        <v>0.81586716000000004</v>
      </c>
      <c r="AC330" s="14">
        <f t="shared" si="24"/>
        <v>2025</v>
      </c>
      <c r="AD330" s="14" t="s">
        <v>481</v>
      </c>
    </row>
    <row r="331" spans="1:30" ht="45" x14ac:dyDescent="0.2">
      <c r="A331" s="1" t="s">
        <v>258</v>
      </c>
      <c r="B331" s="14" t="s">
        <v>430</v>
      </c>
      <c r="C331" s="13" t="s">
        <v>114</v>
      </c>
      <c r="D331" s="1" t="s">
        <v>31</v>
      </c>
      <c r="E331" s="12">
        <v>1.3340000000000001</v>
      </c>
      <c r="F331" s="1">
        <v>70</v>
      </c>
      <c r="G331" s="11">
        <v>190.15</v>
      </c>
      <c r="H331" s="1" t="s">
        <v>12</v>
      </c>
      <c r="I331" s="14" t="s">
        <v>146</v>
      </c>
      <c r="J331" s="20">
        <v>9.34619</v>
      </c>
      <c r="K331" s="16">
        <f t="shared" si="29"/>
        <v>9.34619</v>
      </c>
      <c r="L331" s="20">
        <v>0</v>
      </c>
      <c r="M331" s="20">
        <v>0</v>
      </c>
      <c r="N331" s="20">
        <f>1343850.12/1000000</f>
        <v>1.3438501200000001</v>
      </c>
      <c r="O331" s="16">
        <v>8.0023398799999992</v>
      </c>
      <c r="P331" s="20">
        <v>0</v>
      </c>
      <c r="Q331" s="21">
        <v>0</v>
      </c>
      <c r="R331" s="1">
        <v>0</v>
      </c>
      <c r="S331" s="1">
        <v>0</v>
      </c>
      <c r="T331" s="1">
        <v>0</v>
      </c>
      <c r="U331" s="1">
        <v>0</v>
      </c>
      <c r="V331" s="32" t="s">
        <v>147</v>
      </c>
      <c r="W331" s="14">
        <v>2024</v>
      </c>
      <c r="X331" s="14">
        <v>2024</v>
      </c>
      <c r="Y331" s="14">
        <f>N331</f>
        <v>1.3438501200000001</v>
      </c>
      <c r="Z331" s="14">
        <v>2025</v>
      </c>
      <c r="AA331" s="14">
        <v>2025</v>
      </c>
      <c r="AB331" s="14">
        <f>O331</f>
        <v>8.0023398799999992</v>
      </c>
      <c r="AC331" s="14">
        <f t="shared" si="24"/>
        <v>2025</v>
      </c>
      <c r="AD331" s="14" t="s">
        <v>481</v>
      </c>
    </row>
    <row r="332" spans="1:30" ht="90" x14ac:dyDescent="0.2">
      <c r="A332" s="1" t="s">
        <v>258</v>
      </c>
      <c r="B332" s="14" t="s">
        <v>431</v>
      </c>
      <c r="C332" s="13" t="s">
        <v>115</v>
      </c>
      <c r="D332" s="1" t="s">
        <v>31</v>
      </c>
      <c r="E332" s="12">
        <v>0.76500000000000001</v>
      </c>
      <c r="F332" s="1">
        <v>107.8</v>
      </c>
      <c r="G332" s="11">
        <v>194.04</v>
      </c>
      <c r="H332" s="1" t="s">
        <v>12</v>
      </c>
      <c r="I332" s="14" t="s">
        <v>146</v>
      </c>
      <c r="J332" s="20">
        <v>7.4340003327836</v>
      </c>
      <c r="K332" s="16">
        <f t="shared" si="29"/>
        <v>7.4340003327836</v>
      </c>
      <c r="L332" s="20">
        <v>0</v>
      </c>
      <c r="M332" s="20">
        <v>0</v>
      </c>
      <c r="N332" s="20">
        <f>781352.75/1000000</f>
        <v>0.78135275000000004</v>
      </c>
      <c r="O332" s="16">
        <v>6.6526475827836</v>
      </c>
      <c r="P332" s="20">
        <v>0</v>
      </c>
      <c r="Q332" s="21">
        <v>0</v>
      </c>
      <c r="R332" s="1">
        <v>0</v>
      </c>
      <c r="S332" s="1">
        <v>0</v>
      </c>
      <c r="T332" s="1">
        <v>0</v>
      </c>
      <c r="U332" s="1">
        <v>0</v>
      </c>
      <c r="V332" s="32" t="s">
        <v>147</v>
      </c>
      <c r="W332" s="14">
        <v>2024</v>
      </c>
      <c r="X332" s="14">
        <v>2024</v>
      </c>
      <c r="Y332" s="14">
        <f>N332+4788.08/1000000</f>
        <v>0.78614083000000001</v>
      </c>
      <c r="Z332" s="14">
        <v>2025</v>
      </c>
      <c r="AA332" s="14">
        <v>2025</v>
      </c>
      <c r="AB332" s="14">
        <f>J332-Y332</f>
        <v>6.6478595027836</v>
      </c>
      <c r="AC332" s="14">
        <f t="shared" si="24"/>
        <v>2025</v>
      </c>
      <c r="AD332" s="14" t="s">
        <v>481</v>
      </c>
    </row>
    <row r="333" spans="1:30" ht="56.25" x14ac:dyDescent="0.2">
      <c r="A333" s="1" t="s">
        <v>258</v>
      </c>
      <c r="B333" s="14" t="s">
        <v>432</v>
      </c>
      <c r="C333" s="13" t="s">
        <v>116</v>
      </c>
      <c r="D333" s="1" t="s">
        <v>31</v>
      </c>
      <c r="E333" s="12">
        <v>0.47799999999999998</v>
      </c>
      <c r="F333" s="1">
        <v>20.9</v>
      </c>
      <c r="G333" s="11">
        <v>37.619999999999997</v>
      </c>
      <c r="H333" s="1" t="s">
        <v>12</v>
      </c>
      <c r="I333" s="14" t="s">
        <v>146</v>
      </c>
      <c r="J333" s="20">
        <v>5.6519000000000004</v>
      </c>
      <c r="K333" s="16">
        <f t="shared" si="29"/>
        <v>5.6519000000000004</v>
      </c>
      <c r="L333" s="20">
        <v>0</v>
      </c>
      <c r="M333" s="20">
        <v>0</v>
      </c>
      <c r="N333" s="20">
        <f>593348.82/1000000</f>
        <v>0.59334882</v>
      </c>
      <c r="O333" s="16">
        <v>5.0585511800000003</v>
      </c>
      <c r="P333" s="20">
        <v>0</v>
      </c>
      <c r="Q333" s="21">
        <v>0</v>
      </c>
      <c r="R333" s="1">
        <v>0</v>
      </c>
      <c r="S333" s="1">
        <v>0</v>
      </c>
      <c r="T333" s="1">
        <v>0</v>
      </c>
      <c r="U333" s="1">
        <v>0</v>
      </c>
      <c r="V333" s="32" t="s">
        <v>147</v>
      </c>
      <c r="W333" s="14">
        <v>2024</v>
      </c>
      <c r="X333" s="14">
        <v>2024</v>
      </c>
      <c r="Y333" s="14">
        <f>N333</f>
        <v>0.59334882</v>
      </c>
      <c r="Z333" s="14">
        <v>2025</v>
      </c>
      <c r="AA333" s="14">
        <v>2025</v>
      </c>
      <c r="AB333" s="14">
        <f>O333</f>
        <v>5.0585511800000003</v>
      </c>
      <c r="AC333" s="14">
        <f t="shared" si="24"/>
        <v>2025</v>
      </c>
      <c r="AD333" s="14" t="s">
        <v>481</v>
      </c>
    </row>
    <row r="334" spans="1:30" ht="56.25" x14ac:dyDescent="0.2">
      <c r="A334" s="1" t="s">
        <v>258</v>
      </c>
      <c r="B334" s="14" t="s">
        <v>433</v>
      </c>
      <c r="C334" s="13" t="s">
        <v>117</v>
      </c>
      <c r="D334" s="1" t="s">
        <v>31</v>
      </c>
      <c r="E334" s="19">
        <v>1.829</v>
      </c>
      <c r="F334" s="1">
        <v>20</v>
      </c>
      <c r="G334" s="11">
        <v>63.07</v>
      </c>
      <c r="H334" s="1" t="s">
        <v>12</v>
      </c>
      <c r="I334" s="14" t="s">
        <v>146</v>
      </c>
      <c r="J334" s="20">
        <v>14.72932</v>
      </c>
      <c r="K334" s="16">
        <f t="shared" si="29"/>
        <v>14.72932</v>
      </c>
      <c r="L334" s="20">
        <v>0</v>
      </c>
      <c r="M334" s="20">
        <v>0</v>
      </c>
      <c r="N334" s="20">
        <f>10050.46264/1000+1408.86274/1000</f>
        <v>11.459325379999999</v>
      </c>
      <c r="O334" s="16">
        <v>3.2699946199999999</v>
      </c>
      <c r="P334" s="20">
        <v>0</v>
      </c>
      <c r="Q334" s="21">
        <v>0</v>
      </c>
      <c r="R334" s="1">
        <v>0</v>
      </c>
      <c r="S334" s="1">
        <v>0</v>
      </c>
      <c r="T334" s="1">
        <v>0</v>
      </c>
      <c r="U334" s="1">
        <v>0</v>
      </c>
      <c r="V334" s="32" t="s">
        <v>145</v>
      </c>
      <c r="W334" s="14">
        <v>2024</v>
      </c>
      <c r="X334" s="14">
        <v>2024</v>
      </c>
      <c r="Y334" s="14">
        <f>1408862.74/1000000</f>
        <v>1.40886274</v>
      </c>
      <c r="Z334" s="14">
        <v>2024</v>
      </c>
      <c r="AA334" s="14">
        <v>2025</v>
      </c>
      <c r="AB334" s="14">
        <f>K334-Y334</f>
        <v>13.32045726</v>
      </c>
      <c r="AC334" s="14">
        <f t="shared" si="24"/>
        <v>2025</v>
      </c>
      <c r="AD334" s="14" t="s">
        <v>481</v>
      </c>
    </row>
    <row r="335" spans="1:30" ht="45" x14ac:dyDescent="0.2">
      <c r="A335" s="1" t="s">
        <v>258</v>
      </c>
      <c r="B335" s="14" t="s">
        <v>434</v>
      </c>
      <c r="C335" s="13" t="s">
        <v>118</v>
      </c>
      <c r="D335" s="1" t="s">
        <v>31</v>
      </c>
      <c r="E335" s="12" t="s">
        <v>12</v>
      </c>
      <c r="F335" s="1">
        <v>235</v>
      </c>
      <c r="G335" s="11">
        <v>638.39160000000004</v>
      </c>
      <c r="H335" s="1" t="s">
        <v>12</v>
      </c>
      <c r="I335" s="14" t="s">
        <v>144</v>
      </c>
      <c r="J335" s="20">
        <v>0.33009815999999997</v>
      </c>
      <c r="K335" s="20">
        <f t="shared" ref="K335" si="31">L335+M335+N335</f>
        <v>0.33009815999999997</v>
      </c>
      <c r="L335" s="20">
        <v>0</v>
      </c>
      <c r="M335" s="20">
        <v>0</v>
      </c>
      <c r="N335" s="20">
        <v>0.33009815999999997</v>
      </c>
      <c r="O335" s="20">
        <v>0</v>
      </c>
      <c r="P335" s="20">
        <v>0</v>
      </c>
      <c r="Q335" s="21">
        <v>0</v>
      </c>
      <c r="R335" s="1">
        <v>0</v>
      </c>
      <c r="S335" s="1">
        <v>0</v>
      </c>
      <c r="T335" s="1">
        <v>0</v>
      </c>
      <c r="U335" s="1">
        <v>0</v>
      </c>
      <c r="V335" s="32" t="s">
        <v>147</v>
      </c>
      <c r="W335" s="14">
        <v>2024</v>
      </c>
      <c r="X335" s="14">
        <v>2024</v>
      </c>
      <c r="Y335" s="14">
        <f>N335</f>
        <v>0.33009815999999997</v>
      </c>
      <c r="Z335" s="14">
        <v>2024</v>
      </c>
      <c r="AA335" s="14">
        <v>2024</v>
      </c>
      <c r="AB335" s="14" t="s">
        <v>12</v>
      </c>
      <c r="AC335" s="14">
        <f t="shared" si="24"/>
        <v>2024</v>
      </c>
      <c r="AD335" s="14" t="s">
        <v>481</v>
      </c>
    </row>
    <row r="336" spans="1:30" ht="56.25" x14ac:dyDescent="0.2">
      <c r="A336" s="1" t="s">
        <v>258</v>
      </c>
      <c r="B336" s="14" t="s">
        <v>435</v>
      </c>
      <c r="C336" s="13" t="s">
        <v>119</v>
      </c>
      <c r="D336" s="1" t="s">
        <v>31</v>
      </c>
      <c r="E336" s="12" t="s">
        <v>12</v>
      </c>
      <c r="F336" s="1">
        <v>40</v>
      </c>
      <c r="G336" s="11">
        <v>107</v>
      </c>
      <c r="H336" s="1" t="s">
        <v>12</v>
      </c>
      <c r="I336" s="14" t="s">
        <v>146</v>
      </c>
      <c r="J336" s="20">
        <v>1.47723</v>
      </c>
      <c r="K336" s="16">
        <f t="shared" ref="K336" si="32">L336+M336+N336+O336</f>
        <v>1.47723</v>
      </c>
      <c r="L336" s="20">
        <v>0</v>
      </c>
      <c r="M336" s="20">
        <v>0</v>
      </c>
      <c r="N336" s="20">
        <f>219642/1000000</f>
        <v>0.219642</v>
      </c>
      <c r="O336" s="16">
        <v>1.2575879999999999</v>
      </c>
      <c r="P336" s="20">
        <v>0</v>
      </c>
      <c r="Q336" s="21">
        <v>0</v>
      </c>
      <c r="R336" s="1">
        <v>0</v>
      </c>
      <c r="S336" s="1">
        <v>0</v>
      </c>
      <c r="T336" s="1">
        <v>0</v>
      </c>
      <c r="U336" s="1">
        <v>0</v>
      </c>
      <c r="V336" s="32" t="s">
        <v>147</v>
      </c>
      <c r="W336" s="14">
        <v>2024</v>
      </c>
      <c r="X336" s="14">
        <v>2024</v>
      </c>
      <c r="Y336" s="14">
        <f>N336</f>
        <v>0.219642</v>
      </c>
      <c r="Z336" s="14">
        <v>2025</v>
      </c>
      <c r="AA336" s="14">
        <v>2025</v>
      </c>
      <c r="AB336" s="14">
        <f>O336</f>
        <v>1.2575879999999999</v>
      </c>
      <c r="AC336" s="14">
        <f t="shared" si="24"/>
        <v>2025</v>
      </c>
      <c r="AD336" s="14" t="s">
        <v>481</v>
      </c>
    </row>
    <row r="337" spans="1:30" ht="33.75" x14ac:dyDescent="0.2">
      <c r="A337" s="1" t="s">
        <v>258</v>
      </c>
      <c r="B337" s="14" t="s">
        <v>436</v>
      </c>
      <c r="C337" s="13" t="s">
        <v>120</v>
      </c>
      <c r="D337" s="1" t="s">
        <v>31</v>
      </c>
      <c r="E337" s="12">
        <v>1.0529999999999999</v>
      </c>
      <c r="F337" s="1" t="s">
        <v>12</v>
      </c>
      <c r="G337" s="11" t="s">
        <v>12</v>
      </c>
      <c r="H337" s="1" t="s">
        <v>12</v>
      </c>
      <c r="I337" s="14" t="s">
        <v>146</v>
      </c>
      <c r="J337" s="20">
        <v>17.42465</v>
      </c>
      <c r="K337" s="16">
        <f>L337+M337+N337+O337+P337</f>
        <v>17.42465</v>
      </c>
      <c r="L337" s="20">
        <v>0</v>
      </c>
      <c r="M337" s="20">
        <v>0</v>
      </c>
      <c r="N337" s="20">
        <f>1328235.47/1000000</f>
        <v>1.3282354699999999</v>
      </c>
      <c r="O337" s="16">
        <f>13.24574713-2.26631</f>
        <v>10.979437130000001</v>
      </c>
      <c r="P337" s="16">
        <f>J337-N337-O337</f>
        <v>5.1169773999999997</v>
      </c>
      <c r="Q337" s="21">
        <v>0</v>
      </c>
      <c r="R337" s="1">
        <v>0</v>
      </c>
      <c r="S337" s="1">
        <v>0</v>
      </c>
      <c r="T337" s="1">
        <v>0</v>
      </c>
      <c r="U337" s="1">
        <v>0</v>
      </c>
      <c r="V337" s="32" t="s">
        <v>145</v>
      </c>
      <c r="W337" s="14">
        <v>2024</v>
      </c>
      <c r="X337" s="14">
        <v>2024</v>
      </c>
      <c r="Y337" s="14">
        <f>N337</f>
        <v>1.3282354699999999</v>
      </c>
      <c r="Z337" s="14">
        <v>2025</v>
      </c>
      <c r="AA337" s="14">
        <v>2026</v>
      </c>
      <c r="AB337" s="16">
        <f>J337-Y337</f>
        <v>16.096414530000001</v>
      </c>
      <c r="AC337" s="14">
        <v>2026</v>
      </c>
      <c r="AD337" s="14" t="s">
        <v>481</v>
      </c>
    </row>
    <row r="338" spans="1:30" ht="33.75" x14ac:dyDescent="0.2">
      <c r="A338" s="1" t="s">
        <v>258</v>
      </c>
      <c r="B338" s="14" t="s">
        <v>437</v>
      </c>
      <c r="C338" s="13" t="s">
        <v>121</v>
      </c>
      <c r="D338" s="1" t="s">
        <v>31</v>
      </c>
      <c r="E338" s="12">
        <v>0.68500000000000005</v>
      </c>
      <c r="F338" s="1">
        <v>81.599999999999994</v>
      </c>
      <c r="G338" s="11">
        <v>34.299999999999997</v>
      </c>
      <c r="H338" s="1" t="s">
        <v>12</v>
      </c>
      <c r="I338" s="14" t="s">
        <v>146</v>
      </c>
      <c r="J338" s="20">
        <v>9.3691487699999989</v>
      </c>
      <c r="K338" s="16">
        <f>L338+M338+N338+O338+P338</f>
        <v>9.3691487699999989</v>
      </c>
      <c r="L338" s="20">
        <v>0</v>
      </c>
      <c r="M338" s="20">
        <v>0</v>
      </c>
      <c r="N338" s="20">
        <f>780708.51/1000000</f>
        <v>0.78070850999999997</v>
      </c>
      <c r="O338" s="16">
        <v>6.89543149</v>
      </c>
      <c r="P338" s="20">
        <f>J338-N338-O338</f>
        <v>1.6930087699999987</v>
      </c>
      <c r="Q338" s="21">
        <v>0</v>
      </c>
      <c r="R338" s="1">
        <v>0</v>
      </c>
      <c r="S338" s="1">
        <v>0</v>
      </c>
      <c r="T338" s="1">
        <v>0</v>
      </c>
      <c r="U338" s="1">
        <v>0</v>
      </c>
      <c r="V338" s="32" t="s">
        <v>145</v>
      </c>
      <c r="W338" s="14">
        <v>2024</v>
      </c>
      <c r="X338" s="14">
        <v>2024</v>
      </c>
      <c r="Y338" s="14">
        <f>N338+4788.08/1000000</f>
        <v>0.78549658999999994</v>
      </c>
      <c r="Z338" s="14">
        <v>2024</v>
      </c>
      <c r="AA338" s="14">
        <v>2026</v>
      </c>
      <c r="AB338" s="16">
        <f>J338-Y338</f>
        <v>8.5836521799999996</v>
      </c>
      <c r="AC338" s="14">
        <v>2026</v>
      </c>
      <c r="AD338" s="14" t="s">
        <v>481</v>
      </c>
    </row>
    <row r="339" spans="1:30" ht="45" x14ac:dyDescent="0.2">
      <c r="A339" s="1" t="s">
        <v>258</v>
      </c>
      <c r="B339" s="14" t="s">
        <v>438</v>
      </c>
      <c r="C339" s="13" t="s">
        <v>122</v>
      </c>
      <c r="D339" s="1" t="s">
        <v>31</v>
      </c>
      <c r="E339" s="12">
        <v>8.5000000000000006E-2</v>
      </c>
      <c r="F339" s="1">
        <v>10.5</v>
      </c>
      <c r="G339" s="11">
        <v>28.52</v>
      </c>
      <c r="H339" s="1" t="s">
        <v>12</v>
      </c>
      <c r="I339" s="14" t="s">
        <v>146</v>
      </c>
      <c r="J339" s="20">
        <v>1.31508</v>
      </c>
      <c r="K339" s="20">
        <f t="shared" ref="K339" si="33">L339+M339+N339</f>
        <v>1.07406654</v>
      </c>
      <c r="L339" s="20">
        <v>0</v>
      </c>
      <c r="M339" s="20">
        <v>0</v>
      </c>
      <c r="N339" s="20">
        <f>1074.06654/1000</f>
        <v>1.07406654</v>
      </c>
      <c r="O339" s="20">
        <v>0</v>
      </c>
      <c r="P339" s="20">
        <v>0</v>
      </c>
      <c r="Q339" s="21">
        <v>0</v>
      </c>
      <c r="R339" s="1">
        <v>0</v>
      </c>
      <c r="S339" s="1">
        <v>0</v>
      </c>
      <c r="T339" s="1">
        <v>0</v>
      </c>
      <c r="U339" s="1">
        <v>0</v>
      </c>
      <c r="V339" s="32" t="s">
        <v>145</v>
      </c>
      <c r="W339" s="14">
        <v>2024</v>
      </c>
      <c r="X339" s="14">
        <v>2024</v>
      </c>
      <c r="Y339" s="14">
        <v>0.45902500000000002</v>
      </c>
      <c r="Z339" s="14">
        <v>2024</v>
      </c>
      <c r="AA339" s="14">
        <v>2024</v>
      </c>
      <c r="AB339" s="14">
        <v>0.85605500000000001</v>
      </c>
      <c r="AC339" s="14">
        <f t="shared" si="24"/>
        <v>2024</v>
      </c>
      <c r="AD339" s="14" t="s">
        <v>481</v>
      </c>
    </row>
    <row r="340" spans="1:30" ht="78.75" x14ac:dyDescent="0.2">
      <c r="A340" s="1" t="s">
        <v>258</v>
      </c>
      <c r="B340" s="14" t="s">
        <v>439</v>
      </c>
      <c r="C340" s="13" t="s">
        <v>123</v>
      </c>
      <c r="D340" s="1" t="s">
        <v>31</v>
      </c>
      <c r="E340" s="12">
        <v>0.505</v>
      </c>
      <c r="F340" s="1" t="s">
        <v>12</v>
      </c>
      <c r="G340" s="11" t="s">
        <v>12</v>
      </c>
      <c r="H340" s="1" t="s">
        <v>12</v>
      </c>
      <c r="I340" s="14" t="s">
        <v>146</v>
      </c>
      <c r="J340" s="20">
        <v>5.8427483599999999</v>
      </c>
      <c r="K340" s="16">
        <f t="shared" ref="K340:K342" si="34">L340+M340+N340+O340</f>
        <v>5.8427483599999999</v>
      </c>
      <c r="L340" s="20">
        <v>0</v>
      </c>
      <c r="M340" s="20">
        <v>0</v>
      </c>
      <c r="N340" s="20">
        <v>9.5057009999999997E-2</v>
      </c>
      <c r="O340" s="16">
        <v>5.7476913500000002</v>
      </c>
      <c r="P340" s="20">
        <v>0</v>
      </c>
      <c r="Q340" s="21">
        <v>0</v>
      </c>
      <c r="R340" s="1">
        <v>0</v>
      </c>
      <c r="S340" s="1">
        <v>0</v>
      </c>
      <c r="T340" s="1">
        <v>0</v>
      </c>
      <c r="U340" s="1">
        <v>0</v>
      </c>
      <c r="V340" s="32" t="s">
        <v>145</v>
      </c>
      <c r="W340" s="14">
        <v>2024</v>
      </c>
      <c r="X340" s="14">
        <v>2024</v>
      </c>
      <c r="Y340" s="14">
        <v>9.5060000000000006E-2</v>
      </c>
      <c r="Z340" s="14">
        <v>2025</v>
      </c>
      <c r="AA340" s="14">
        <v>2025</v>
      </c>
      <c r="AB340" s="14">
        <f>J340-N340</f>
        <v>5.7476913500000002</v>
      </c>
      <c r="AC340" s="14">
        <f t="shared" si="24"/>
        <v>2025</v>
      </c>
      <c r="AD340" s="14" t="s">
        <v>481</v>
      </c>
    </row>
    <row r="341" spans="1:30" ht="33.75" x14ac:dyDescent="0.2">
      <c r="A341" s="1" t="s">
        <v>258</v>
      </c>
      <c r="B341" s="14" t="s">
        <v>440</v>
      </c>
      <c r="C341" s="13" t="s">
        <v>124</v>
      </c>
      <c r="D341" s="1" t="s">
        <v>31</v>
      </c>
      <c r="E341" s="12">
        <v>4.5679999999999996</v>
      </c>
      <c r="F341" s="1">
        <v>100</v>
      </c>
      <c r="G341" s="11">
        <v>438.08</v>
      </c>
      <c r="H341" s="1" t="s">
        <v>12</v>
      </c>
      <c r="I341" s="14" t="s">
        <v>146</v>
      </c>
      <c r="J341" s="20">
        <f>26872340/1000000</f>
        <v>26.872340000000001</v>
      </c>
      <c r="K341" s="24">
        <f t="shared" si="34"/>
        <v>26.872339959999998</v>
      </c>
      <c r="L341" s="20">
        <v>0</v>
      </c>
      <c r="M341" s="20">
        <v>0</v>
      </c>
      <c r="N341" s="20">
        <f>23142.95268/1000+3034.73/1000</f>
        <v>26.177682679999997</v>
      </c>
      <c r="O341" s="16">
        <v>0.69465728000000004</v>
      </c>
      <c r="P341" s="20">
        <v>0</v>
      </c>
      <c r="Q341" s="21">
        <v>0</v>
      </c>
      <c r="R341" s="1">
        <v>0</v>
      </c>
      <c r="S341" s="1">
        <v>0</v>
      </c>
      <c r="T341" s="1">
        <v>0</v>
      </c>
      <c r="U341" s="1">
        <v>0</v>
      </c>
      <c r="V341" s="32" t="s">
        <v>145</v>
      </c>
      <c r="W341" s="14">
        <v>2024</v>
      </c>
      <c r="X341" s="14">
        <v>2024</v>
      </c>
      <c r="Y341" s="14">
        <f>3034730.04/1000000</f>
        <v>3.0347300399999999</v>
      </c>
      <c r="Z341" s="14">
        <v>2024</v>
      </c>
      <c r="AA341" s="14">
        <v>2025</v>
      </c>
      <c r="AB341" s="14">
        <f>K341-Y341</f>
        <v>23.837609919999998</v>
      </c>
      <c r="AC341" s="14">
        <f t="shared" si="24"/>
        <v>2025</v>
      </c>
      <c r="AD341" s="14" t="s">
        <v>481</v>
      </c>
    </row>
    <row r="342" spans="1:30" ht="33.75" x14ac:dyDescent="0.2">
      <c r="A342" s="1" t="s">
        <v>258</v>
      </c>
      <c r="B342" s="14" t="s">
        <v>441</v>
      </c>
      <c r="C342" s="13" t="s">
        <v>125</v>
      </c>
      <c r="D342" s="1" t="s">
        <v>31</v>
      </c>
      <c r="E342" s="12">
        <v>4.0999999999999996</v>
      </c>
      <c r="F342" s="1">
        <v>91.55</v>
      </c>
      <c r="G342" s="11">
        <v>292.07</v>
      </c>
      <c r="H342" s="1" t="s">
        <v>12</v>
      </c>
      <c r="I342" s="14" t="s">
        <v>146</v>
      </c>
      <c r="J342" s="20">
        <v>50.601300000000002</v>
      </c>
      <c r="K342" s="24">
        <f t="shared" si="34"/>
        <v>50.601296940000005</v>
      </c>
      <c r="L342" s="20">
        <v>0</v>
      </c>
      <c r="M342" s="20">
        <v>0</v>
      </c>
      <c r="N342" s="20">
        <f>41882.90649/1000+3380.04/1000</f>
        <v>45.262946490000004</v>
      </c>
      <c r="O342" s="16">
        <v>5.3383504500000001</v>
      </c>
      <c r="P342" s="20">
        <v>0</v>
      </c>
      <c r="Q342" s="21">
        <v>0</v>
      </c>
      <c r="R342" s="1">
        <v>0</v>
      </c>
      <c r="S342" s="1">
        <v>0</v>
      </c>
      <c r="T342" s="1">
        <v>0</v>
      </c>
      <c r="U342" s="1">
        <v>0</v>
      </c>
      <c r="V342" s="32" t="s">
        <v>145</v>
      </c>
      <c r="W342" s="14">
        <v>2024</v>
      </c>
      <c r="X342" s="14">
        <v>2024</v>
      </c>
      <c r="Y342" s="14">
        <f>3380043.06/1000000</f>
        <v>3.3800430600000002</v>
      </c>
      <c r="Z342" s="14">
        <v>2024</v>
      </c>
      <c r="AA342" s="14">
        <v>2025</v>
      </c>
      <c r="AB342" s="14">
        <f>J342-Y342</f>
        <v>47.221256940000004</v>
      </c>
      <c r="AC342" s="14">
        <f t="shared" si="24"/>
        <v>2025</v>
      </c>
      <c r="AD342" s="14" t="s">
        <v>481</v>
      </c>
    </row>
    <row r="343" spans="1:30" ht="67.5" x14ac:dyDescent="0.2">
      <c r="A343" s="1" t="s">
        <v>258</v>
      </c>
      <c r="B343" s="14" t="s">
        <v>442</v>
      </c>
      <c r="C343" s="13" t="s">
        <v>126</v>
      </c>
      <c r="D343" s="1" t="s">
        <v>31</v>
      </c>
      <c r="E343" s="12">
        <v>0.83</v>
      </c>
      <c r="F343" s="1" t="s">
        <v>12</v>
      </c>
      <c r="G343" s="11" t="s">
        <v>12</v>
      </c>
      <c r="H343" s="1" t="s">
        <v>12</v>
      </c>
      <c r="I343" s="14" t="s">
        <v>146</v>
      </c>
      <c r="J343" s="20">
        <v>14.95181017</v>
      </c>
      <c r="K343" s="17">
        <f>L343+M343+N343+O343+P343</f>
        <v>14.95181017</v>
      </c>
      <c r="L343" s="20">
        <v>0</v>
      </c>
      <c r="M343" s="20">
        <v>0</v>
      </c>
      <c r="N343" s="20">
        <v>0</v>
      </c>
      <c r="O343" s="20">
        <v>1.2034079200000001</v>
      </c>
      <c r="P343" s="20">
        <f>J343-O343</f>
        <v>13.74840225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32" t="s">
        <v>147</v>
      </c>
      <c r="W343" s="14">
        <v>2025</v>
      </c>
      <c r="X343" s="14">
        <v>2025</v>
      </c>
      <c r="Y343" s="14">
        <v>1.2034100000000001</v>
      </c>
      <c r="Z343" s="14">
        <v>2026</v>
      </c>
      <c r="AA343" s="14">
        <v>2026</v>
      </c>
      <c r="AB343" s="14">
        <v>13.7484</v>
      </c>
      <c r="AC343" s="14">
        <f t="shared" si="24"/>
        <v>2026</v>
      </c>
      <c r="AD343" s="14" t="s">
        <v>481</v>
      </c>
    </row>
    <row r="344" spans="1:30" ht="56.25" x14ac:dyDescent="0.2">
      <c r="A344" s="1" t="s">
        <v>258</v>
      </c>
      <c r="B344" s="14" t="s">
        <v>443</v>
      </c>
      <c r="C344" s="13" t="s">
        <v>127</v>
      </c>
      <c r="D344" s="1" t="s">
        <v>31</v>
      </c>
      <c r="E344" s="12" t="s">
        <v>12</v>
      </c>
      <c r="F344" s="1" t="s">
        <v>12</v>
      </c>
      <c r="G344" s="11" t="s">
        <v>12</v>
      </c>
      <c r="H344" s="1" t="s">
        <v>12</v>
      </c>
      <c r="I344" s="14" t="s">
        <v>146</v>
      </c>
      <c r="J344" s="20">
        <v>1.1737660000000001</v>
      </c>
      <c r="K344" s="16">
        <f t="shared" ref="K344:K362" si="35">L344+M344+N344+O344+P344</f>
        <v>1.1737660000000001</v>
      </c>
      <c r="L344" s="20">
        <v>0</v>
      </c>
      <c r="M344" s="20">
        <v>0</v>
      </c>
      <c r="N344" s="20">
        <v>0</v>
      </c>
      <c r="O344" s="20">
        <v>0.23411632000000002</v>
      </c>
      <c r="P344" s="20">
        <v>0.93964968000000004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32" t="s">
        <v>147</v>
      </c>
      <c r="W344" s="14">
        <v>2025</v>
      </c>
      <c r="X344" s="14">
        <v>2025</v>
      </c>
      <c r="Y344" s="14">
        <v>0.23411999999999999</v>
      </c>
      <c r="Z344" s="14">
        <v>2026</v>
      </c>
      <c r="AA344" s="14">
        <v>2026</v>
      </c>
      <c r="AB344" s="14">
        <v>0.93964999999999999</v>
      </c>
      <c r="AC344" s="14">
        <f t="shared" ref="AC344:AC362" si="36">AA344</f>
        <v>2026</v>
      </c>
      <c r="AD344" s="14" t="s">
        <v>481</v>
      </c>
    </row>
    <row r="345" spans="1:30" ht="56.25" x14ac:dyDescent="0.2">
      <c r="A345" s="1" t="s">
        <v>258</v>
      </c>
      <c r="B345" s="14" t="s">
        <v>444</v>
      </c>
      <c r="C345" s="13" t="s">
        <v>128</v>
      </c>
      <c r="D345" s="1" t="s">
        <v>31</v>
      </c>
      <c r="E345" s="12">
        <v>0.31930000000000003</v>
      </c>
      <c r="F345" s="1" t="s">
        <v>12</v>
      </c>
      <c r="G345" s="11" t="s">
        <v>12</v>
      </c>
      <c r="H345" s="1" t="s">
        <v>12</v>
      </c>
      <c r="I345" s="14" t="s">
        <v>146</v>
      </c>
      <c r="J345" s="20">
        <v>4.9367784099999996</v>
      </c>
      <c r="K345" s="16">
        <f t="shared" si="35"/>
        <v>4.9367784100000005</v>
      </c>
      <c r="L345" s="20">
        <v>0</v>
      </c>
      <c r="M345" s="20">
        <v>0</v>
      </c>
      <c r="N345" s="20">
        <v>0</v>
      </c>
      <c r="O345" s="20">
        <v>0.58658731000000008</v>
      </c>
      <c r="P345" s="20">
        <v>4.3501911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32" t="s">
        <v>147</v>
      </c>
      <c r="W345" s="14">
        <v>2025</v>
      </c>
      <c r="X345" s="14">
        <v>2025</v>
      </c>
      <c r="Y345" s="14">
        <v>0.58658999999999994</v>
      </c>
      <c r="Z345" s="14">
        <v>2026</v>
      </c>
      <c r="AA345" s="14">
        <v>2026</v>
      </c>
      <c r="AB345" s="14">
        <v>4.3501899999999996</v>
      </c>
      <c r="AC345" s="14">
        <f t="shared" si="36"/>
        <v>2026</v>
      </c>
      <c r="AD345" s="14" t="s">
        <v>481</v>
      </c>
    </row>
    <row r="346" spans="1:30" ht="56.25" x14ac:dyDescent="0.2">
      <c r="A346" s="1" t="s">
        <v>258</v>
      </c>
      <c r="B346" s="14" t="s">
        <v>445</v>
      </c>
      <c r="C346" s="13" t="s">
        <v>129</v>
      </c>
      <c r="D346" s="1" t="s">
        <v>31</v>
      </c>
      <c r="E346" s="12" t="s">
        <v>12</v>
      </c>
      <c r="F346" s="1">
        <v>3178</v>
      </c>
      <c r="G346" s="11">
        <v>7937</v>
      </c>
      <c r="H346" s="1" t="s">
        <v>12</v>
      </c>
      <c r="I346" s="14" t="s">
        <v>146</v>
      </c>
      <c r="J346" s="20">
        <v>7.48659447</v>
      </c>
      <c r="K346" s="16">
        <f t="shared" si="35"/>
        <v>7.48659447</v>
      </c>
      <c r="L346" s="20">
        <v>0</v>
      </c>
      <c r="M346" s="20">
        <v>0</v>
      </c>
      <c r="N346" s="20">
        <v>0</v>
      </c>
      <c r="O346" s="20">
        <v>0.58220667000000004</v>
      </c>
      <c r="P346" s="20">
        <v>6.9043878000000003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32" t="s">
        <v>147</v>
      </c>
      <c r="W346" s="14">
        <v>2025</v>
      </c>
      <c r="X346" s="14">
        <v>2025</v>
      </c>
      <c r="Y346" s="14">
        <v>0.58221000000000001</v>
      </c>
      <c r="Z346" s="14">
        <v>2026</v>
      </c>
      <c r="AA346" s="14">
        <v>2026</v>
      </c>
      <c r="AB346" s="14">
        <v>6.9043900000000002</v>
      </c>
      <c r="AC346" s="14">
        <f t="shared" si="36"/>
        <v>2026</v>
      </c>
      <c r="AD346" s="14" t="s">
        <v>481</v>
      </c>
    </row>
    <row r="347" spans="1:30" ht="56.25" x14ac:dyDescent="0.2">
      <c r="A347" s="1" t="s">
        <v>258</v>
      </c>
      <c r="B347" s="14" t="s">
        <v>446</v>
      </c>
      <c r="C347" s="13" t="s">
        <v>130</v>
      </c>
      <c r="D347" s="1" t="s">
        <v>31</v>
      </c>
      <c r="E347" s="12">
        <v>0.02</v>
      </c>
      <c r="F347" s="1" t="s">
        <v>12</v>
      </c>
      <c r="G347" s="11" t="s">
        <v>12</v>
      </c>
      <c r="H347" s="1" t="s">
        <v>12</v>
      </c>
      <c r="I347" s="14" t="s">
        <v>146</v>
      </c>
      <c r="J347" s="20">
        <v>0.52228881000000005</v>
      </c>
      <c r="K347" s="16">
        <f t="shared" si="35"/>
        <v>0.52228881000000005</v>
      </c>
      <c r="L347" s="20">
        <v>0</v>
      </c>
      <c r="M347" s="20">
        <v>0</v>
      </c>
      <c r="N347" s="20">
        <v>0</v>
      </c>
      <c r="O347" s="20">
        <v>0.16806091000000001</v>
      </c>
      <c r="P347" s="20">
        <v>0.35422790000000004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32" t="s">
        <v>147</v>
      </c>
      <c r="W347" s="14">
        <v>2025</v>
      </c>
      <c r="X347" s="14">
        <v>2025</v>
      </c>
      <c r="Y347" s="14">
        <v>0.16805999999999999</v>
      </c>
      <c r="Z347" s="14">
        <v>2026</v>
      </c>
      <c r="AA347" s="14">
        <v>2026</v>
      </c>
      <c r="AB347" s="14">
        <v>0.35422999999999999</v>
      </c>
      <c r="AC347" s="14">
        <f t="shared" si="36"/>
        <v>2026</v>
      </c>
      <c r="AD347" s="14" t="s">
        <v>481</v>
      </c>
    </row>
    <row r="348" spans="1:30" ht="45" x14ac:dyDescent="0.2">
      <c r="A348" s="1" t="s">
        <v>258</v>
      </c>
      <c r="B348" s="14" t="s">
        <v>447</v>
      </c>
      <c r="C348" s="13" t="s">
        <v>131</v>
      </c>
      <c r="D348" s="1" t="s">
        <v>31</v>
      </c>
      <c r="E348" s="12">
        <v>0.02</v>
      </c>
      <c r="F348" s="1" t="s">
        <v>12</v>
      </c>
      <c r="G348" s="11" t="s">
        <v>12</v>
      </c>
      <c r="H348" s="1" t="s">
        <v>12</v>
      </c>
      <c r="I348" s="14" t="s">
        <v>146</v>
      </c>
      <c r="J348" s="20">
        <v>0.52228881000000005</v>
      </c>
      <c r="K348" s="16">
        <f t="shared" si="35"/>
        <v>0.52228881000000005</v>
      </c>
      <c r="L348" s="20">
        <v>0</v>
      </c>
      <c r="M348" s="20">
        <v>0</v>
      </c>
      <c r="N348" s="20">
        <v>0</v>
      </c>
      <c r="O348" s="20">
        <v>0.16806091000000001</v>
      </c>
      <c r="P348" s="20">
        <v>0.35422790000000004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32" t="s">
        <v>147</v>
      </c>
      <c r="W348" s="14">
        <v>2025</v>
      </c>
      <c r="X348" s="14">
        <v>2025</v>
      </c>
      <c r="Y348" s="14">
        <v>0.16805999999999999</v>
      </c>
      <c r="Z348" s="14">
        <v>2026</v>
      </c>
      <c r="AA348" s="14">
        <v>2026</v>
      </c>
      <c r="AB348" s="14">
        <v>0.35422999999999999</v>
      </c>
      <c r="AC348" s="14">
        <f t="shared" si="36"/>
        <v>2026</v>
      </c>
      <c r="AD348" s="14" t="s">
        <v>481</v>
      </c>
    </row>
    <row r="349" spans="1:30" ht="90" x14ac:dyDescent="0.2">
      <c r="A349" s="1" t="s">
        <v>258</v>
      </c>
      <c r="B349" s="14" t="s">
        <v>448</v>
      </c>
      <c r="C349" s="13" t="s">
        <v>132</v>
      </c>
      <c r="D349" s="1" t="s">
        <v>31</v>
      </c>
      <c r="E349" s="12" t="s">
        <v>12</v>
      </c>
      <c r="F349" s="1" t="s">
        <v>12</v>
      </c>
      <c r="G349" s="11" t="s">
        <v>12</v>
      </c>
      <c r="H349" s="1" t="s">
        <v>12</v>
      </c>
      <c r="I349" s="14" t="s">
        <v>146</v>
      </c>
      <c r="J349" s="20">
        <v>1.1737660000000001</v>
      </c>
      <c r="K349" s="16">
        <f t="shared" si="35"/>
        <v>1.1737660000000001</v>
      </c>
      <c r="L349" s="20">
        <v>0</v>
      </c>
      <c r="M349" s="20">
        <v>0</v>
      </c>
      <c r="N349" s="20">
        <v>0</v>
      </c>
      <c r="O349" s="20">
        <v>0.23411632000000002</v>
      </c>
      <c r="P349" s="20">
        <v>0.93964968000000004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32" t="s">
        <v>147</v>
      </c>
      <c r="W349" s="14">
        <v>2025</v>
      </c>
      <c r="X349" s="14">
        <v>2025</v>
      </c>
      <c r="Y349" s="14">
        <v>0.23411999999999999</v>
      </c>
      <c r="Z349" s="14">
        <v>2026</v>
      </c>
      <c r="AA349" s="14">
        <v>2026</v>
      </c>
      <c r="AB349" s="14">
        <v>0.93964999999999999</v>
      </c>
      <c r="AC349" s="14">
        <f t="shared" si="36"/>
        <v>2026</v>
      </c>
      <c r="AD349" s="14" t="s">
        <v>481</v>
      </c>
    </row>
    <row r="350" spans="1:30" ht="45" x14ac:dyDescent="0.2">
      <c r="A350" s="1" t="s">
        <v>258</v>
      </c>
      <c r="B350" s="14" t="s">
        <v>449</v>
      </c>
      <c r="C350" s="13" t="s">
        <v>133</v>
      </c>
      <c r="D350" s="1" t="s">
        <v>31</v>
      </c>
      <c r="E350" s="12" t="s">
        <v>12</v>
      </c>
      <c r="F350" s="1">
        <v>67</v>
      </c>
      <c r="G350" s="11">
        <v>121</v>
      </c>
      <c r="H350" s="1" t="s">
        <v>12</v>
      </c>
      <c r="I350" s="14" t="s">
        <v>146</v>
      </c>
      <c r="J350" s="20">
        <v>3.0898398399999998</v>
      </c>
      <c r="K350" s="16">
        <f t="shared" si="35"/>
        <v>3.0898398399999998</v>
      </c>
      <c r="L350" s="20">
        <v>0</v>
      </c>
      <c r="M350" s="20">
        <v>0</v>
      </c>
      <c r="N350" s="20">
        <v>0</v>
      </c>
      <c r="O350" s="20">
        <v>0.40843164000000004</v>
      </c>
      <c r="P350" s="20">
        <v>2.6814081999999999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32" t="s">
        <v>147</v>
      </c>
      <c r="W350" s="14">
        <v>2025</v>
      </c>
      <c r="X350" s="14">
        <v>2025</v>
      </c>
      <c r="Y350" s="14">
        <v>0.40843000000000002</v>
      </c>
      <c r="Z350" s="14">
        <v>2026</v>
      </c>
      <c r="AA350" s="14">
        <v>2026</v>
      </c>
      <c r="AB350" s="14">
        <v>2.6814100000000001</v>
      </c>
      <c r="AC350" s="14">
        <f t="shared" si="36"/>
        <v>2026</v>
      </c>
      <c r="AD350" s="14" t="s">
        <v>481</v>
      </c>
    </row>
    <row r="351" spans="1:30" ht="45" x14ac:dyDescent="0.2">
      <c r="A351" s="1" t="s">
        <v>258</v>
      </c>
      <c r="B351" s="14" t="s">
        <v>450</v>
      </c>
      <c r="C351" s="13" t="s">
        <v>134</v>
      </c>
      <c r="D351" s="1" t="s">
        <v>31</v>
      </c>
      <c r="E351" s="12" t="s">
        <v>12</v>
      </c>
      <c r="F351" s="1">
        <v>554</v>
      </c>
      <c r="G351" s="11">
        <v>997</v>
      </c>
      <c r="H351" s="1" t="s">
        <v>12</v>
      </c>
      <c r="I351" s="14" t="s">
        <v>146</v>
      </c>
      <c r="J351" s="20">
        <v>4.5048398399999998</v>
      </c>
      <c r="K351" s="16">
        <f t="shared" si="35"/>
        <v>4.5048398399999998</v>
      </c>
      <c r="L351" s="20">
        <v>0</v>
      </c>
      <c r="M351" s="20">
        <v>0</v>
      </c>
      <c r="N351" s="20">
        <v>0</v>
      </c>
      <c r="O351" s="20">
        <v>0.40843164000000004</v>
      </c>
      <c r="P351" s="20">
        <v>4.0964081999999999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32" t="s">
        <v>147</v>
      </c>
      <c r="W351" s="14">
        <v>2025</v>
      </c>
      <c r="X351" s="14">
        <v>2025</v>
      </c>
      <c r="Y351" s="14">
        <v>0.40843000000000002</v>
      </c>
      <c r="Z351" s="14">
        <v>2026</v>
      </c>
      <c r="AA351" s="14">
        <v>2026</v>
      </c>
      <c r="AB351" s="14">
        <v>4.0964099999999997</v>
      </c>
      <c r="AC351" s="14">
        <f t="shared" si="36"/>
        <v>2026</v>
      </c>
      <c r="AD351" s="14" t="s">
        <v>481</v>
      </c>
    </row>
    <row r="352" spans="1:30" ht="45" x14ac:dyDescent="0.2">
      <c r="A352" s="1" t="s">
        <v>258</v>
      </c>
      <c r="B352" s="14" t="s">
        <v>451</v>
      </c>
      <c r="C352" s="13" t="s">
        <v>135</v>
      </c>
      <c r="D352" s="1" t="s">
        <v>31</v>
      </c>
      <c r="E352" s="12" t="s">
        <v>12</v>
      </c>
      <c r="F352" s="1">
        <v>596</v>
      </c>
      <c r="G352" s="11">
        <v>1073</v>
      </c>
      <c r="H352" s="1" t="s">
        <v>12</v>
      </c>
      <c r="I352" s="14" t="s">
        <v>146</v>
      </c>
      <c r="J352" s="20">
        <v>5.0048398399999998</v>
      </c>
      <c r="K352" s="16">
        <f t="shared" si="35"/>
        <v>5.0048398399999998</v>
      </c>
      <c r="L352" s="20">
        <v>0</v>
      </c>
      <c r="M352" s="20">
        <v>0</v>
      </c>
      <c r="N352" s="20">
        <v>0</v>
      </c>
      <c r="O352" s="20">
        <v>0.40843164000000004</v>
      </c>
      <c r="P352" s="20">
        <v>4.5964081999999999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32" t="s">
        <v>147</v>
      </c>
      <c r="W352" s="14">
        <v>2025</v>
      </c>
      <c r="X352" s="14">
        <v>2025</v>
      </c>
      <c r="Y352" s="14">
        <v>0.40843000000000002</v>
      </c>
      <c r="Z352" s="14">
        <v>2026</v>
      </c>
      <c r="AA352" s="14">
        <v>2026</v>
      </c>
      <c r="AB352" s="14">
        <v>4.5964099999999997</v>
      </c>
      <c r="AC352" s="14">
        <f t="shared" si="36"/>
        <v>2026</v>
      </c>
      <c r="AD352" s="14" t="s">
        <v>481</v>
      </c>
    </row>
    <row r="353" spans="1:30" ht="45" x14ac:dyDescent="0.2">
      <c r="A353" s="1" t="s">
        <v>258</v>
      </c>
      <c r="B353" s="14" t="s">
        <v>452</v>
      </c>
      <c r="C353" s="13" t="s">
        <v>136</v>
      </c>
      <c r="D353" s="1" t="s">
        <v>31</v>
      </c>
      <c r="E353" s="12" t="s">
        <v>12</v>
      </c>
      <c r="F353" s="1">
        <v>636</v>
      </c>
      <c r="G353" s="11">
        <v>1145</v>
      </c>
      <c r="H353" s="1" t="s">
        <v>12</v>
      </c>
      <c r="I353" s="14" t="s">
        <v>146</v>
      </c>
      <c r="J353" s="20">
        <v>5.0048398399999998</v>
      </c>
      <c r="K353" s="16">
        <f t="shared" si="35"/>
        <v>5.0048398399999998</v>
      </c>
      <c r="L353" s="20">
        <v>0</v>
      </c>
      <c r="M353" s="20">
        <v>0</v>
      </c>
      <c r="N353" s="20">
        <v>0</v>
      </c>
      <c r="O353" s="20">
        <v>0.40843164000000004</v>
      </c>
      <c r="P353" s="20">
        <v>4.5964081999999999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32" t="s">
        <v>147</v>
      </c>
      <c r="W353" s="14">
        <v>2025</v>
      </c>
      <c r="X353" s="14">
        <v>2025</v>
      </c>
      <c r="Y353" s="14">
        <v>0.40843000000000002</v>
      </c>
      <c r="Z353" s="14">
        <v>2026</v>
      </c>
      <c r="AA353" s="14">
        <v>2026</v>
      </c>
      <c r="AB353" s="14">
        <v>4.5964099999999997</v>
      </c>
      <c r="AC353" s="14">
        <f t="shared" si="36"/>
        <v>2026</v>
      </c>
      <c r="AD353" s="14" t="s">
        <v>481</v>
      </c>
    </row>
    <row r="354" spans="1:30" ht="67.5" x14ac:dyDescent="0.2">
      <c r="A354" s="1" t="s">
        <v>258</v>
      </c>
      <c r="B354" s="14" t="s">
        <v>453</v>
      </c>
      <c r="C354" s="13" t="s">
        <v>137</v>
      </c>
      <c r="D354" s="1" t="s">
        <v>31</v>
      </c>
      <c r="E354" s="12">
        <v>0.80300000000000005</v>
      </c>
      <c r="F354" s="1" t="s">
        <v>12</v>
      </c>
      <c r="G354" s="11" t="s">
        <v>12</v>
      </c>
      <c r="H354" s="1" t="s">
        <v>12</v>
      </c>
      <c r="I354" s="14" t="s">
        <v>146</v>
      </c>
      <c r="J354" s="20">
        <v>11.66269597</v>
      </c>
      <c r="K354" s="16">
        <f t="shared" si="35"/>
        <v>11.66269597</v>
      </c>
      <c r="L354" s="20">
        <v>0</v>
      </c>
      <c r="M354" s="20">
        <v>0</v>
      </c>
      <c r="N354" s="20">
        <v>0</v>
      </c>
      <c r="O354" s="20">
        <v>1.03585897</v>
      </c>
      <c r="P354" s="20">
        <v>10.626837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32" t="s">
        <v>147</v>
      </c>
      <c r="W354" s="14">
        <v>2025</v>
      </c>
      <c r="X354" s="14">
        <v>2025</v>
      </c>
      <c r="Y354" s="14">
        <v>1.03586</v>
      </c>
      <c r="Z354" s="14">
        <v>2026</v>
      </c>
      <c r="AA354" s="14">
        <v>2026</v>
      </c>
      <c r="AB354" s="14">
        <v>10.62684</v>
      </c>
      <c r="AC354" s="14">
        <f t="shared" si="36"/>
        <v>2026</v>
      </c>
      <c r="AD354" s="14" t="s">
        <v>481</v>
      </c>
    </row>
    <row r="355" spans="1:30" ht="56.25" x14ac:dyDescent="0.2">
      <c r="A355" s="1" t="s">
        <v>258</v>
      </c>
      <c r="B355" s="14" t="s">
        <v>454</v>
      </c>
      <c r="C355" s="13" t="s">
        <v>138</v>
      </c>
      <c r="D355" s="1" t="s">
        <v>31</v>
      </c>
      <c r="E355" s="12">
        <v>1.87</v>
      </c>
      <c r="F355" s="1">
        <v>7</v>
      </c>
      <c r="G355" s="11">
        <v>13</v>
      </c>
      <c r="H355" s="1" t="s">
        <v>12</v>
      </c>
      <c r="I355" s="14" t="s">
        <v>146</v>
      </c>
      <c r="J355" s="20">
        <v>28.192534519999999</v>
      </c>
      <c r="K355" s="16">
        <f t="shared" si="35"/>
        <v>28.192534519999999</v>
      </c>
      <c r="L355" s="20">
        <v>0</v>
      </c>
      <c r="M355" s="20">
        <v>0</v>
      </c>
      <c r="N355" s="20">
        <v>0</v>
      </c>
      <c r="O355" s="20">
        <v>2.7710314500000002</v>
      </c>
      <c r="P355" s="20">
        <f>J355-O355</f>
        <v>25.42150307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32" t="s">
        <v>145</v>
      </c>
      <c r="W355" s="14">
        <v>2025</v>
      </c>
      <c r="X355" s="14">
        <v>2025</v>
      </c>
      <c r="Y355" s="14">
        <v>2.0960700000000001</v>
      </c>
      <c r="Z355" s="14">
        <v>2026</v>
      </c>
      <c r="AA355" s="14">
        <v>2026</v>
      </c>
      <c r="AB355" s="14">
        <v>23.021190000000001</v>
      </c>
      <c r="AC355" s="14">
        <f t="shared" si="36"/>
        <v>2026</v>
      </c>
      <c r="AD355" s="14" t="s">
        <v>481</v>
      </c>
    </row>
    <row r="356" spans="1:30" ht="67.5" x14ac:dyDescent="0.2">
      <c r="A356" s="1" t="s">
        <v>258</v>
      </c>
      <c r="B356" s="14" t="s">
        <v>455</v>
      </c>
      <c r="C356" s="13" t="s">
        <v>139</v>
      </c>
      <c r="D356" s="1" t="s">
        <v>31</v>
      </c>
      <c r="E356" s="12" t="s">
        <v>12</v>
      </c>
      <c r="F356" s="1">
        <v>502</v>
      </c>
      <c r="G356" s="11">
        <v>904</v>
      </c>
      <c r="H356" s="1" t="s">
        <v>12</v>
      </c>
      <c r="I356" s="14" t="s">
        <v>146</v>
      </c>
      <c r="J356" s="20">
        <v>7.4300604699999999</v>
      </c>
      <c r="K356" s="16">
        <f t="shared" si="35"/>
        <v>7.4300604699999999</v>
      </c>
      <c r="L356" s="20">
        <v>0</v>
      </c>
      <c r="M356" s="20">
        <v>0</v>
      </c>
      <c r="N356" s="20">
        <v>0</v>
      </c>
      <c r="O356" s="20">
        <v>0.58220667000000004</v>
      </c>
      <c r="P356" s="20">
        <v>6.8478538000000002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32" t="s">
        <v>147</v>
      </c>
      <c r="W356" s="14">
        <v>2025</v>
      </c>
      <c r="X356" s="14">
        <v>2025</v>
      </c>
      <c r="Y356" s="14">
        <v>0.58221000000000001</v>
      </c>
      <c r="Z356" s="14">
        <v>2026</v>
      </c>
      <c r="AA356" s="14">
        <v>2026</v>
      </c>
      <c r="AB356" s="14">
        <v>6.8478500000000002</v>
      </c>
      <c r="AC356" s="14">
        <f t="shared" si="36"/>
        <v>2026</v>
      </c>
      <c r="AD356" s="14" t="s">
        <v>481</v>
      </c>
    </row>
    <row r="357" spans="1:30" ht="90" x14ac:dyDescent="0.2">
      <c r="A357" s="1" t="s">
        <v>258</v>
      </c>
      <c r="B357" s="14" t="s">
        <v>456</v>
      </c>
      <c r="C357" s="13" t="s">
        <v>140</v>
      </c>
      <c r="D357" s="1" t="s">
        <v>31</v>
      </c>
      <c r="E357" s="12" t="s">
        <v>12</v>
      </c>
      <c r="F357" s="1">
        <v>8302.5</v>
      </c>
      <c r="G357" s="11">
        <v>19926</v>
      </c>
      <c r="H357" s="1" t="s">
        <v>12</v>
      </c>
      <c r="I357" s="14" t="s">
        <v>146</v>
      </c>
      <c r="J357" s="20">
        <v>30.497780590000001</v>
      </c>
      <c r="K357" s="16">
        <f t="shared" si="35"/>
        <v>30.497780590000001</v>
      </c>
      <c r="L357" s="20">
        <v>0</v>
      </c>
      <c r="M357" s="20">
        <v>0</v>
      </c>
      <c r="N357" s="20">
        <v>0</v>
      </c>
      <c r="O357" s="20">
        <v>1.1529505900000001</v>
      </c>
      <c r="P357" s="20">
        <v>29.344830000000002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32" t="s">
        <v>147</v>
      </c>
      <c r="W357" s="14">
        <v>2025</v>
      </c>
      <c r="X357" s="14">
        <v>2025</v>
      </c>
      <c r="Y357" s="14">
        <v>1.1529499999999999</v>
      </c>
      <c r="Z357" s="14">
        <v>2026</v>
      </c>
      <c r="AA357" s="14">
        <v>2026</v>
      </c>
      <c r="AB357" s="14">
        <v>29.344830000000002</v>
      </c>
      <c r="AC357" s="14">
        <f t="shared" si="36"/>
        <v>2026</v>
      </c>
      <c r="AD357" s="14" t="s">
        <v>481</v>
      </c>
    </row>
    <row r="358" spans="1:30" ht="45" x14ac:dyDescent="0.2">
      <c r="A358" s="1" t="s">
        <v>258</v>
      </c>
      <c r="B358" s="14" t="s">
        <v>457</v>
      </c>
      <c r="C358" s="13" t="s">
        <v>141</v>
      </c>
      <c r="D358" s="1" t="s">
        <v>31</v>
      </c>
      <c r="E358" s="12">
        <v>5.0620000000000003</v>
      </c>
      <c r="F358" s="1">
        <v>47</v>
      </c>
      <c r="G358" s="11">
        <v>85</v>
      </c>
      <c r="H358" s="1" t="s">
        <v>12</v>
      </c>
      <c r="I358" s="14" t="s">
        <v>146</v>
      </c>
      <c r="J358" s="20">
        <v>28.29959101</v>
      </c>
      <c r="K358" s="16">
        <f t="shared" si="35"/>
        <v>28.29959101</v>
      </c>
      <c r="L358" s="20">
        <v>0</v>
      </c>
      <c r="M358" s="20">
        <v>0</v>
      </c>
      <c r="N358" s="20">
        <v>0</v>
      </c>
      <c r="O358" s="16">
        <v>3.7227839399999998</v>
      </c>
      <c r="P358" s="20">
        <f>J358-O358</f>
        <v>24.576807070000001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32" t="s">
        <v>145</v>
      </c>
      <c r="W358" s="14">
        <v>2025</v>
      </c>
      <c r="X358" s="14">
        <v>2025</v>
      </c>
      <c r="Y358" s="14">
        <v>2.47519</v>
      </c>
      <c r="Z358" s="14">
        <v>2026</v>
      </c>
      <c r="AA358" s="14">
        <v>2026</v>
      </c>
      <c r="AB358" s="14">
        <f>J358-Y358</f>
        <v>25.824401009999999</v>
      </c>
      <c r="AC358" s="14">
        <f t="shared" si="36"/>
        <v>2026</v>
      </c>
      <c r="AD358" s="14" t="s">
        <v>481</v>
      </c>
    </row>
    <row r="359" spans="1:30" ht="45" x14ac:dyDescent="0.2">
      <c r="A359" s="1" t="s">
        <v>258</v>
      </c>
      <c r="B359" s="14" t="s">
        <v>458</v>
      </c>
      <c r="C359" s="13" t="s">
        <v>142</v>
      </c>
      <c r="D359" s="1" t="s">
        <v>31</v>
      </c>
      <c r="E359" s="12">
        <v>7.5270000000000001</v>
      </c>
      <c r="F359" s="1">
        <v>69</v>
      </c>
      <c r="G359" s="11">
        <v>124</v>
      </c>
      <c r="H359" s="1" t="s">
        <v>12</v>
      </c>
      <c r="I359" s="14" t="s">
        <v>146</v>
      </c>
      <c r="J359" s="20">
        <v>47.359984150000003</v>
      </c>
      <c r="K359" s="16">
        <f t="shared" si="35"/>
        <v>47.359984150000003</v>
      </c>
      <c r="L359" s="20">
        <v>0</v>
      </c>
      <c r="M359" s="20">
        <v>0</v>
      </c>
      <c r="N359" s="20">
        <v>0</v>
      </c>
      <c r="O359" s="20">
        <v>4.2871231300000003</v>
      </c>
      <c r="P359" s="20">
        <f>J359-O359</f>
        <v>43.072861020000005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32" t="s">
        <v>145</v>
      </c>
      <c r="W359" s="14">
        <v>2025</v>
      </c>
      <c r="X359" s="14">
        <v>2025</v>
      </c>
      <c r="Y359" s="14">
        <v>1.98519</v>
      </c>
      <c r="Z359" s="14">
        <v>2026</v>
      </c>
      <c r="AA359" s="14">
        <v>2026</v>
      </c>
      <c r="AB359" s="14">
        <v>27.54739</v>
      </c>
      <c r="AC359" s="14">
        <f t="shared" si="36"/>
        <v>2026</v>
      </c>
      <c r="AD359" s="14" t="s">
        <v>481</v>
      </c>
    </row>
    <row r="360" spans="1:30" ht="78.75" x14ac:dyDescent="0.2">
      <c r="A360" s="1" t="s">
        <v>258</v>
      </c>
      <c r="B360" s="14" t="s">
        <v>459</v>
      </c>
      <c r="C360" s="13" t="s">
        <v>143</v>
      </c>
      <c r="D360" s="1" t="s">
        <v>31</v>
      </c>
      <c r="E360" s="12">
        <v>0.54049999999999998</v>
      </c>
      <c r="F360" s="1">
        <v>7</v>
      </c>
      <c r="G360" s="11">
        <v>12</v>
      </c>
      <c r="H360" s="1" t="s">
        <v>12</v>
      </c>
      <c r="I360" s="14" t="s">
        <v>146</v>
      </c>
      <c r="J360" s="20">
        <v>6.2828187299999998</v>
      </c>
      <c r="K360" s="16">
        <f t="shared" si="35"/>
        <v>6.2828187299999998</v>
      </c>
      <c r="L360" s="20">
        <v>0</v>
      </c>
      <c r="M360" s="20">
        <v>0</v>
      </c>
      <c r="N360" s="20">
        <v>0</v>
      </c>
      <c r="O360" s="20">
        <v>0.66028659999999995</v>
      </c>
      <c r="P360" s="20">
        <f>J360-O360</f>
        <v>5.6225321299999997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32" t="s">
        <v>145</v>
      </c>
      <c r="W360" s="14">
        <v>2025</v>
      </c>
      <c r="X360" s="14">
        <v>2025</v>
      </c>
      <c r="Y360" s="14">
        <v>0.38307000000000002</v>
      </c>
      <c r="Z360" s="14">
        <v>2026</v>
      </c>
      <c r="AA360" s="14">
        <v>2026</v>
      </c>
      <c r="AB360" s="14">
        <v>2.6327699999999998</v>
      </c>
      <c r="AC360" s="14">
        <f t="shared" si="36"/>
        <v>2026</v>
      </c>
      <c r="AD360" s="14" t="s">
        <v>481</v>
      </c>
    </row>
    <row r="361" spans="1:30" ht="45" x14ac:dyDescent="0.2">
      <c r="A361" s="1" t="s">
        <v>258</v>
      </c>
      <c r="B361" s="14" t="s">
        <v>460</v>
      </c>
      <c r="C361" s="13" t="s">
        <v>148</v>
      </c>
      <c r="D361" s="1" t="s">
        <v>31</v>
      </c>
      <c r="E361" s="12">
        <v>6.117</v>
      </c>
      <c r="F361" s="1">
        <v>52</v>
      </c>
      <c r="G361" s="11">
        <v>94</v>
      </c>
      <c r="H361" s="1" t="s">
        <v>12</v>
      </c>
      <c r="I361" s="14" t="s">
        <v>146</v>
      </c>
      <c r="J361" s="20">
        <v>50.565603279999998</v>
      </c>
      <c r="K361" s="16">
        <f t="shared" si="35"/>
        <v>50.565603279999998</v>
      </c>
      <c r="L361" s="20">
        <v>0</v>
      </c>
      <c r="M361" s="20">
        <v>0</v>
      </c>
      <c r="N361" s="20">
        <v>0</v>
      </c>
      <c r="O361" s="20">
        <v>4.11981223</v>
      </c>
      <c r="P361" s="20">
        <f>J361-O361</f>
        <v>46.445791049999997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32" t="s">
        <v>145</v>
      </c>
      <c r="W361" s="14">
        <v>2025</v>
      </c>
      <c r="X361" s="14">
        <v>2025</v>
      </c>
      <c r="Y361" s="14">
        <v>2.7280799999999998</v>
      </c>
      <c r="Z361" s="14">
        <v>2026</v>
      </c>
      <c r="AA361" s="14">
        <v>2026</v>
      </c>
      <c r="AB361" s="14">
        <v>31.217790000000001</v>
      </c>
      <c r="AC361" s="14">
        <f t="shared" si="36"/>
        <v>2026</v>
      </c>
      <c r="AD361" s="14" t="s">
        <v>481</v>
      </c>
    </row>
    <row r="362" spans="1:30" ht="56.25" x14ac:dyDescent="0.2">
      <c r="A362" s="1" t="s">
        <v>258</v>
      </c>
      <c r="B362" s="14" t="s">
        <v>461</v>
      </c>
      <c r="C362" s="13" t="s">
        <v>149</v>
      </c>
      <c r="D362" s="1" t="s">
        <v>31</v>
      </c>
      <c r="E362" s="12">
        <v>4.51</v>
      </c>
      <c r="F362" s="1">
        <v>34</v>
      </c>
      <c r="G362" s="11">
        <v>61</v>
      </c>
      <c r="H362" s="1" t="s">
        <v>12</v>
      </c>
      <c r="I362" s="14" t="s">
        <v>146</v>
      </c>
      <c r="J362" s="20">
        <v>29.38136699</v>
      </c>
      <c r="K362" s="16">
        <f t="shared" si="35"/>
        <v>29.38136699</v>
      </c>
      <c r="L362" s="20">
        <v>0</v>
      </c>
      <c r="M362" s="20">
        <v>0</v>
      </c>
      <c r="N362" s="20">
        <v>0</v>
      </c>
      <c r="O362" s="51">
        <v>3.92523774</v>
      </c>
      <c r="P362" s="20">
        <f>J362-O362</f>
        <v>25.45612925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32" t="s">
        <v>145</v>
      </c>
      <c r="W362" s="14">
        <v>2025</v>
      </c>
      <c r="X362" s="14">
        <v>2025</v>
      </c>
      <c r="Y362" s="14">
        <v>1.98519</v>
      </c>
      <c r="Z362" s="14">
        <v>2026</v>
      </c>
      <c r="AA362" s="14">
        <v>2026</v>
      </c>
      <c r="AB362" s="14">
        <v>20.57827</v>
      </c>
      <c r="AC362" s="14">
        <f t="shared" si="36"/>
        <v>2026</v>
      </c>
      <c r="AD362" s="14" t="s">
        <v>481</v>
      </c>
    </row>
    <row r="363" spans="1:30" x14ac:dyDescent="0.2">
      <c r="A363" s="57" t="s">
        <v>258</v>
      </c>
      <c r="B363" s="53" t="s">
        <v>462</v>
      </c>
      <c r="C363" s="60" t="s">
        <v>482</v>
      </c>
      <c r="D363" s="54" t="s">
        <v>31</v>
      </c>
      <c r="E363" s="61" t="s">
        <v>12</v>
      </c>
      <c r="F363" s="54" t="s">
        <v>31</v>
      </c>
      <c r="G363" s="56" t="s">
        <v>31</v>
      </c>
      <c r="H363" s="54" t="s">
        <v>12</v>
      </c>
      <c r="I363" s="14" t="s">
        <v>146</v>
      </c>
      <c r="J363" s="53" t="s">
        <v>12</v>
      </c>
      <c r="K363" s="42">
        <f t="shared" ref="K363:U363" si="37">SUM(K364:K365)</f>
        <v>327.31491440999997</v>
      </c>
      <c r="L363" s="42">
        <f t="shared" si="37"/>
        <v>175.71691168999999</v>
      </c>
      <c r="M363" s="42">
        <f t="shared" si="37"/>
        <v>48.579096139999997</v>
      </c>
      <c r="N363" s="42">
        <f t="shared" si="37"/>
        <v>50.665926579999997</v>
      </c>
      <c r="O363" s="51">
        <f t="shared" si="37"/>
        <v>52.352980000000002</v>
      </c>
      <c r="P363" s="35">
        <f t="shared" si="37"/>
        <v>2.9581497699999999</v>
      </c>
      <c r="Q363" s="1">
        <f t="shared" si="37"/>
        <v>0</v>
      </c>
      <c r="R363" s="1">
        <f t="shared" si="37"/>
        <v>0</v>
      </c>
      <c r="S363" s="1">
        <f t="shared" si="37"/>
        <v>0</v>
      </c>
      <c r="T363" s="1">
        <f t="shared" si="37"/>
        <v>0</v>
      </c>
      <c r="U363" s="1">
        <f t="shared" si="37"/>
        <v>0</v>
      </c>
      <c r="V363" s="53" t="s">
        <v>12</v>
      </c>
      <c r="W363" s="53" t="s">
        <v>12</v>
      </c>
      <c r="X363" s="53" t="s">
        <v>12</v>
      </c>
      <c r="Y363" s="53" t="s">
        <v>12</v>
      </c>
      <c r="Z363" s="53" t="s">
        <v>12</v>
      </c>
      <c r="AA363" s="53" t="s">
        <v>12</v>
      </c>
      <c r="AB363" s="53" t="s">
        <v>12</v>
      </c>
      <c r="AC363" s="53" t="s">
        <v>12</v>
      </c>
      <c r="AD363" s="53" t="s">
        <v>490</v>
      </c>
    </row>
    <row r="364" spans="1:30" x14ac:dyDescent="0.2">
      <c r="A364" s="57"/>
      <c r="B364" s="54"/>
      <c r="C364" s="69"/>
      <c r="D364" s="54"/>
      <c r="E364" s="61"/>
      <c r="F364" s="54"/>
      <c r="G364" s="56"/>
      <c r="H364" s="54"/>
      <c r="I364" s="1" t="s">
        <v>604</v>
      </c>
      <c r="J364" s="54"/>
      <c r="K364" s="43">
        <f t="shared" ref="K364" si="38">L364+M364+N364+O364</f>
        <v>157.32417928999999</v>
      </c>
      <c r="L364" s="42">
        <v>157.32417928999999</v>
      </c>
      <c r="M364" s="42">
        <v>0</v>
      </c>
      <c r="N364" s="42">
        <v>0</v>
      </c>
      <c r="O364" s="5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54" t="s">
        <v>12</v>
      </c>
      <c r="W364" s="54" t="s">
        <v>12</v>
      </c>
      <c r="X364" s="54" t="s">
        <v>12</v>
      </c>
      <c r="Y364" s="54" t="s">
        <v>12</v>
      </c>
      <c r="Z364" s="54" t="s">
        <v>12</v>
      </c>
      <c r="AA364" s="54" t="s">
        <v>12</v>
      </c>
      <c r="AB364" s="54" t="s">
        <v>12</v>
      </c>
      <c r="AC364" s="54" t="s">
        <v>12</v>
      </c>
      <c r="AD364" s="54" t="s">
        <v>12</v>
      </c>
    </row>
    <row r="365" spans="1:30" s="38" customFormat="1" x14ac:dyDescent="0.2">
      <c r="A365" s="57"/>
      <c r="B365" s="54"/>
      <c r="C365" s="69"/>
      <c r="D365" s="54"/>
      <c r="E365" s="61"/>
      <c r="F365" s="54"/>
      <c r="G365" s="56"/>
      <c r="H365" s="54"/>
      <c r="I365" s="1" t="s">
        <v>605</v>
      </c>
      <c r="J365" s="54"/>
      <c r="K365" s="43">
        <f>L365+M365+N365+O365</f>
        <v>169.99073511999998</v>
      </c>
      <c r="L365" s="42">
        <v>18.3927324</v>
      </c>
      <c r="M365" s="42">
        <v>48.579096139999997</v>
      </c>
      <c r="N365" s="42">
        <v>50.665926579999997</v>
      </c>
      <c r="O365" s="51">
        <f>52352980/1000000</f>
        <v>52.352980000000002</v>
      </c>
      <c r="P365" s="36">
        <v>2.9581497699999999</v>
      </c>
      <c r="Q365" s="36"/>
      <c r="R365" s="36"/>
      <c r="S365" s="36"/>
      <c r="T365" s="36"/>
      <c r="U365" s="36"/>
      <c r="V365" s="54"/>
      <c r="W365" s="54"/>
      <c r="X365" s="54"/>
      <c r="Y365" s="54"/>
      <c r="Z365" s="54"/>
      <c r="AA365" s="54"/>
      <c r="AB365" s="54"/>
      <c r="AC365" s="54"/>
      <c r="AD365" s="54"/>
    </row>
    <row r="366" spans="1:30" x14ac:dyDescent="0.2">
      <c r="A366" s="55" t="s">
        <v>259</v>
      </c>
      <c r="B366" s="55"/>
      <c r="C366" s="59" t="s">
        <v>483</v>
      </c>
      <c r="D366" s="55" t="s">
        <v>31</v>
      </c>
      <c r="E366" s="64" t="s">
        <v>31</v>
      </c>
      <c r="F366" s="55" t="s">
        <v>31</v>
      </c>
      <c r="G366" s="63" t="s">
        <v>31</v>
      </c>
      <c r="H366" s="55" t="s">
        <v>31</v>
      </c>
      <c r="I366" s="2" t="s">
        <v>161</v>
      </c>
      <c r="J366" s="2" t="s">
        <v>31</v>
      </c>
      <c r="K366" s="2">
        <f t="shared" ref="K366:U366" si="39">SUM(K367:K374)</f>
        <v>56.067959999999999</v>
      </c>
      <c r="L366" s="2">
        <f t="shared" si="39"/>
        <v>14.914099999999999</v>
      </c>
      <c r="M366" s="2">
        <f t="shared" si="39"/>
        <v>41.153860000000002</v>
      </c>
      <c r="N366" s="2">
        <f t="shared" si="39"/>
        <v>0</v>
      </c>
      <c r="O366" s="50">
        <f t="shared" si="39"/>
        <v>0</v>
      </c>
      <c r="P366" s="2">
        <f t="shared" si="39"/>
        <v>0</v>
      </c>
      <c r="Q366" s="2">
        <f t="shared" si="39"/>
        <v>0</v>
      </c>
      <c r="R366" s="2">
        <f t="shared" si="39"/>
        <v>0</v>
      </c>
      <c r="S366" s="2">
        <f t="shared" si="39"/>
        <v>0</v>
      </c>
      <c r="T366" s="2">
        <f t="shared" si="39"/>
        <v>0</v>
      </c>
      <c r="U366" s="2">
        <f t="shared" si="39"/>
        <v>0</v>
      </c>
      <c r="V366" s="55" t="s">
        <v>31</v>
      </c>
      <c r="W366" s="55" t="s">
        <v>31</v>
      </c>
      <c r="X366" s="55" t="s">
        <v>31</v>
      </c>
      <c r="Y366" s="55" t="s">
        <v>31</v>
      </c>
      <c r="Z366" s="55" t="s">
        <v>31</v>
      </c>
      <c r="AA366" s="55" t="s">
        <v>31</v>
      </c>
      <c r="AB366" s="55" t="s">
        <v>31</v>
      </c>
      <c r="AC366" s="55" t="s">
        <v>31</v>
      </c>
      <c r="AD366" s="55" t="s">
        <v>31</v>
      </c>
    </row>
    <row r="367" spans="1:30" x14ac:dyDescent="0.2">
      <c r="A367" s="55"/>
      <c r="B367" s="55"/>
      <c r="C367" s="59"/>
      <c r="D367" s="55"/>
      <c r="E367" s="64"/>
      <c r="F367" s="55"/>
      <c r="G367" s="63"/>
      <c r="H367" s="55"/>
      <c r="I367" s="2" t="s">
        <v>166</v>
      </c>
      <c r="J367" s="2" t="s">
        <v>31</v>
      </c>
      <c r="K367" s="2" t="s">
        <v>31</v>
      </c>
      <c r="L367" s="2" t="s">
        <v>31</v>
      </c>
      <c r="M367" s="2" t="s">
        <v>31</v>
      </c>
      <c r="N367" s="2" t="s">
        <v>31</v>
      </c>
      <c r="O367" s="50" t="s">
        <v>31</v>
      </c>
      <c r="P367" s="2" t="s">
        <v>31</v>
      </c>
      <c r="Q367" s="2" t="s">
        <v>31</v>
      </c>
      <c r="R367" s="2" t="s">
        <v>31</v>
      </c>
      <c r="S367" s="2" t="s">
        <v>31</v>
      </c>
      <c r="T367" s="2" t="s">
        <v>31</v>
      </c>
      <c r="U367" s="2" t="s">
        <v>31</v>
      </c>
      <c r="V367" s="55"/>
      <c r="W367" s="55"/>
      <c r="X367" s="55"/>
      <c r="Y367" s="55"/>
      <c r="Z367" s="55"/>
      <c r="AA367" s="55"/>
      <c r="AB367" s="55"/>
      <c r="AC367" s="55"/>
      <c r="AD367" s="55"/>
    </row>
    <row r="368" spans="1:30" x14ac:dyDescent="0.2">
      <c r="A368" s="55"/>
      <c r="B368" s="55"/>
      <c r="C368" s="59"/>
      <c r="D368" s="55"/>
      <c r="E368" s="64"/>
      <c r="F368" s="55"/>
      <c r="G368" s="63"/>
      <c r="H368" s="55"/>
      <c r="I368" s="2" t="s">
        <v>167</v>
      </c>
      <c r="J368" s="2" t="s">
        <v>31</v>
      </c>
      <c r="K368" s="2" t="s">
        <v>31</v>
      </c>
      <c r="L368" s="2" t="s">
        <v>31</v>
      </c>
      <c r="M368" s="2" t="s">
        <v>31</v>
      </c>
      <c r="N368" s="2" t="s">
        <v>31</v>
      </c>
      <c r="O368" s="2" t="s">
        <v>31</v>
      </c>
      <c r="P368" s="2" t="s">
        <v>31</v>
      </c>
      <c r="Q368" s="2" t="s">
        <v>31</v>
      </c>
      <c r="R368" s="2" t="s">
        <v>31</v>
      </c>
      <c r="S368" s="2" t="s">
        <v>31</v>
      </c>
      <c r="T368" s="2" t="s">
        <v>31</v>
      </c>
      <c r="U368" s="2" t="s">
        <v>31</v>
      </c>
      <c r="V368" s="55"/>
      <c r="W368" s="55"/>
      <c r="X368" s="55"/>
      <c r="Y368" s="55"/>
      <c r="Z368" s="55"/>
      <c r="AA368" s="55"/>
      <c r="AB368" s="55"/>
      <c r="AC368" s="55"/>
      <c r="AD368" s="55"/>
    </row>
    <row r="369" spans="1:30" x14ac:dyDescent="0.2">
      <c r="A369" s="55"/>
      <c r="B369" s="55"/>
      <c r="C369" s="59"/>
      <c r="D369" s="55"/>
      <c r="E369" s="64"/>
      <c r="F369" s="55"/>
      <c r="G369" s="63"/>
      <c r="H369" s="55"/>
      <c r="I369" s="2" t="s">
        <v>168</v>
      </c>
      <c r="J369" s="2" t="s">
        <v>31</v>
      </c>
      <c r="K369" s="2" t="s">
        <v>31</v>
      </c>
      <c r="L369" s="2" t="s">
        <v>31</v>
      </c>
      <c r="M369" s="2" t="s">
        <v>31</v>
      </c>
      <c r="N369" s="2" t="s">
        <v>31</v>
      </c>
      <c r="O369" s="2" t="s">
        <v>31</v>
      </c>
      <c r="P369" s="2" t="s">
        <v>31</v>
      </c>
      <c r="Q369" s="2" t="s">
        <v>31</v>
      </c>
      <c r="R369" s="2" t="s">
        <v>31</v>
      </c>
      <c r="S369" s="2" t="s">
        <v>31</v>
      </c>
      <c r="T369" s="2" t="s">
        <v>31</v>
      </c>
      <c r="U369" s="2" t="s">
        <v>31</v>
      </c>
      <c r="V369" s="55"/>
      <c r="W369" s="55"/>
      <c r="X369" s="55"/>
      <c r="Y369" s="55"/>
      <c r="Z369" s="55"/>
      <c r="AA369" s="55"/>
      <c r="AB369" s="55"/>
      <c r="AC369" s="55"/>
      <c r="AD369" s="55"/>
    </row>
    <row r="370" spans="1:30" x14ac:dyDescent="0.2">
      <c r="A370" s="55"/>
      <c r="B370" s="55"/>
      <c r="C370" s="59"/>
      <c r="D370" s="55"/>
      <c r="E370" s="64"/>
      <c r="F370" s="55"/>
      <c r="G370" s="63"/>
      <c r="H370" s="55"/>
      <c r="I370" s="2" t="s">
        <v>165</v>
      </c>
      <c r="J370" s="2" t="s">
        <v>31</v>
      </c>
      <c r="K370" s="2" t="s">
        <v>31</v>
      </c>
      <c r="L370" s="2" t="s">
        <v>31</v>
      </c>
      <c r="M370" s="2" t="s">
        <v>31</v>
      </c>
      <c r="N370" s="2" t="s">
        <v>31</v>
      </c>
      <c r="O370" s="2" t="s">
        <v>31</v>
      </c>
      <c r="P370" s="2" t="s">
        <v>31</v>
      </c>
      <c r="Q370" s="2" t="s">
        <v>31</v>
      </c>
      <c r="R370" s="2" t="s">
        <v>31</v>
      </c>
      <c r="S370" s="2" t="s">
        <v>31</v>
      </c>
      <c r="T370" s="2" t="s">
        <v>31</v>
      </c>
      <c r="U370" s="2" t="s">
        <v>31</v>
      </c>
      <c r="V370" s="55"/>
      <c r="W370" s="55"/>
      <c r="X370" s="55"/>
      <c r="Y370" s="55"/>
      <c r="Z370" s="55"/>
      <c r="AA370" s="55"/>
      <c r="AB370" s="55"/>
      <c r="AC370" s="55"/>
      <c r="AD370" s="55"/>
    </row>
    <row r="371" spans="1:30" x14ac:dyDescent="0.2">
      <c r="A371" s="55"/>
      <c r="B371" s="55"/>
      <c r="C371" s="59"/>
      <c r="D371" s="55"/>
      <c r="E371" s="64"/>
      <c r="F371" s="55"/>
      <c r="G371" s="63"/>
      <c r="H371" s="55"/>
      <c r="I371" s="2" t="s">
        <v>164</v>
      </c>
      <c r="J371" s="2" t="s">
        <v>31</v>
      </c>
      <c r="K371" s="2" t="s">
        <v>31</v>
      </c>
      <c r="L371" s="2" t="s">
        <v>31</v>
      </c>
      <c r="M371" s="2" t="s">
        <v>31</v>
      </c>
      <c r="N371" s="2" t="s">
        <v>31</v>
      </c>
      <c r="O371" s="2" t="s">
        <v>31</v>
      </c>
      <c r="P371" s="2" t="s">
        <v>31</v>
      </c>
      <c r="Q371" s="2" t="s">
        <v>31</v>
      </c>
      <c r="R371" s="2" t="s">
        <v>31</v>
      </c>
      <c r="S371" s="2" t="s">
        <v>31</v>
      </c>
      <c r="T371" s="2" t="s">
        <v>31</v>
      </c>
      <c r="U371" s="2" t="s">
        <v>31</v>
      </c>
      <c r="V371" s="55"/>
      <c r="W371" s="55"/>
      <c r="X371" s="55"/>
      <c r="Y371" s="55"/>
      <c r="Z371" s="55"/>
      <c r="AA371" s="55"/>
      <c r="AB371" s="55"/>
      <c r="AC371" s="55"/>
      <c r="AD371" s="55"/>
    </row>
    <row r="372" spans="1:30" x14ac:dyDescent="0.2">
      <c r="A372" s="55"/>
      <c r="B372" s="55"/>
      <c r="C372" s="59"/>
      <c r="D372" s="55"/>
      <c r="E372" s="64"/>
      <c r="F372" s="55"/>
      <c r="G372" s="63"/>
      <c r="H372" s="55"/>
      <c r="I372" s="2" t="s">
        <v>163</v>
      </c>
      <c r="J372" s="2" t="s">
        <v>31</v>
      </c>
      <c r="K372" s="2" t="s">
        <v>31</v>
      </c>
      <c r="L372" s="2" t="s">
        <v>31</v>
      </c>
      <c r="M372" s="2" t="s">
        <v>31</v>
      </c>
      <c r="N372" s="2" t="s">
        <v>31</v>
      </c>
      <c r="O372" s="2" t="s">
        <v>31</v>
      </c>
      <c r="P372" s="2" t="s">
        <v>31</v>
      </c>
      <c r="Q372" s="2" t="s">
        <v>31</v>
      </c>
      <c r="R372" s="2" t="s">
        <v>31</v>
      </c>
      <c r="S372" s="2" t="s">
        <v>31</v>
      </c>
      <c r="T372" s="2" t="s">
        <v>31</v>
      </c>
      <c r="U372" s="2" t="s">
        <v>31</v>
      </c>
      <c r="V372" s="55"/>
      <c r="W372" s="55"/>
      <c r="X372" s="55"/>
      <c r="Y372" s="55"/>
      <c r="Z372" s="55"/>
      <c r="AA372" s="55"/>
      <c r="AB372" s="55"/>
      <c r="AC372" s="55"/>
      <c r="AD372" s="55"/>
    </row>
    <row r="373" spans="1:30" x14ac:dyDescent="0.2">
      <c r="A373" s="55"/>
      <c r="B373" s="53"/>
      <c r="C373" s="60"/>
      <c r="D373" s="55"/>
      <c r="E373" s="64"/>
      <c r="F373" s="55"/>
      <c r="G373" s="63"/>
      <c r="H373" s="55"/>
      <c r="I373" s="14" t="s">
        <v>144</v>
      </c>
      <c r="J373" s="14" t="s">
        <v>31</v>
      </c>
      <c r="K373" s="14" t="s">
        <v>31</v>
      </c>
      <c r="L373" s="14" t="s">
        <v>31</v>
      </c>
      <c r="M373" s="14" t="s">
        <v>31</v>
      </c>
      <c r="N373" s="14" t="s">
        <v>31</v>
      </c>
      <c r="O373" s="14" t="s">
        <v>31</v>
      </c>
      <c r="P373" s="2" t="s">
        <v>31</v>
      </c>
      <c r="Q373" s="2" t="s">
        <v>31</v>
      </c>
      <c r="R373" s="2" t="s">
        <v>31</v>
      </c>
      <c r="S373" s="2" t="s">
        <v>31</v>
      </c>
      <c r="T373" s="2" t="s">
        <v>31</v>
      </c>
      <c r="U373" s="2" t="s">
        <v>31</v>
      </c>
      <c r="V373" s="53"/>
      <c r="W373" s="53"/>
      <c r="X373" s="53"/>
      <c r="Y373" s="53"/>
      <c r="Z373" s="53"/>
      <c r="AA373" s="53"/>
      <c r="AB373" s="53"/>
      <c r="AC373" s="53"/>
      <c r="AD373" s="53"/>
    </row>
    <row r="374" spans="1:30" x14ac:dyDescent="0.2">
      <c r="A374" s="55"/>
      <c r="B374" s="55"/>
      <c r="C374" s="59"/>
      <c r="D374" s="55"/>
      <c r="E374" s="64"/>
      <c r="F374" s="55"/>
      <c r="G374" s="63"/>
      <c r="H374" s="55"/>
      <c r="I374" s="2" t="s">
        <v>162</v>
      </c>
      <c r="J374" s="2" t="s">
        <v>31</v>
      </c>
      <c r="K374" s="2">
        <f t="shared" ref="K374:U374" si="40">SUM(K376)</f>
        <v>56.067959999999999</v>
      </c>
      <c r="L374" s="2">
        <f t="shared" si="40"/>
        <v>14.914099999999999</v>
      </c>
      <c r="M374" s="2">
        <f t="shared" si="40"/>
        <v>41.153860000000002</v>
      </c>
      <c r="N374" s="2">
        <f t="shared" si="40"/>
        <v>0</v>
      </c>
      <c r="O374" s="2">
        <f t="shared" si="40"/>
        <v>0</v>
      </c>
      <c r="P374" s="2">
        <f t="shared" si="40"/>
        <v>0</v>
      </c>
      <c r="Q374" s="2">
        <f t="shared" si="40"/>
        <v>0</v>
      </c>
      <c r="R374" s="2">
        <f t="shared" si="40"/>
        <v>0</v>
      </c>
      <c r="S374" s="2">
        <f t="shared" si="40"/>
        <v>0</v>
      </c>
      <c r="T374" s="2">
        <f t="shared" si="40"/>
        <v>0</v>
      </c>
      <c r="U374" s="2">
        <f t="shared" si="40"/>
        <v>0</v>
      </c>
      <c r="V374" s="55"/>
      <c r="W374" s="55"/>
      <c r="X374" s="55"/>
      <c r="Y374" s="55"/>
      <c r="Z374" s="55"/>
      <c r="AA374" s="55"/>
      <c r="AB374" s="55"/>
      <c r="AC374" s="55"/>
      <c r="AD374" s="55"/>
    </row>
    <row r="375" spans="1:30" x14ac:dyDescent="0.2">
      <c r="A375" s="4" t="s">
        <v>259</v>
      </c>
      <c r="B375" s="62" t="s">
        <v>11</v>
      </c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</row>
    <row r="376" spans="1:30" ht="33.75" x14ac:dyDescent="0.2">
      <c r="A376" s="1" t="s">
        <v>259</v>
      </c>
      <c r="B376" s="1" t="s">
        <v>15</v>
      </c>
      <c r="C376" s="5" t="s">
        <v>492</v>
      </c>
      <c r="D376" s="1" t="s">
        <v>31</v>
      </c>
      <c r="E376" s="1" t="s">
        <v>31</v>
      </c>
      <c r="F376" s="7">
        <v>73000</v>
      </c>
      <c r="G376" s="7">
        <v>198308.9</v>
      </c>
      <c r="H376" s="7" t="s">
        <v>31</v>
      </c>
      <c r="I376" s="7" t="s">
        <v>162</v>
      </c>
      <c r="J376" s="7">
        <v>56.067959999999999</v>
      </c>
      <c r="K376" s="7">
        <v>56.067959999999999</v>
      </c>
      <c r="L376" s="7">
        <v>14.914099999999999</v>
      </c>
      <c r="M376" s="7">
        <v>41.153860000000002</v>
      </c>
      <c r="N376" s="7"/>
      <c r="O376" s="7"/>
      <c r="P376" s="7"/>
      <c r="Q376" s="7"/>
      <c r="R376" s="7"/>
      <c r="S376" s="7"/>
      <c r="T376" s="7"/>
      <c r="U376" s="7"/>
      <c r="V376" s="32" t="s">
        <v>147</v>
      </c>
      <c r="W376" s="7">
        <v>2021</v>
      </c>
      <c r="X376" s="7">
        <v>2021</v>
      </c>
      <c r="Y376" s="7">
        <v>1.0471023399999999</v>
      </c>
      <c r="Z376" s="7">
        <v>2022</v>
      </c>
      <c r="AA376" s="7">
        <v>2023</v>
      </c>
      <c r="AB376" s="7">
        <v>55.020857659999997</v>
      </c>
      <c r="AC376" s="7">
        <v>2023</v>
      </c>
      <c r="AD376" s="1" t="s">
        <v>481</v>
      </c>
    </row>
    <row r="377" spans="1:30" x14ac:dyDescent="0.2">
      <c r="A377" s="55" t="s">
        <v>260</v>
      </c>
      <c r="B377" s="55"/>
      <c r="C377" s="59" t="s">
        <v>488</v>
      </c>
      <c r="D377" s="55" t="s">
        <v>31</v>
      </c>
      <c r="E377" s="55" t="s">
        <v>31</v>
      </c>
      <c r="F377" s="53" t="s">
        <v>31</v>
      </c>
      <c r="G377" s="53" t="s">
        <v>31</v>
      </c>
      <c r="H377" s="53" t="s">
        <v>31</v>
      </c>
      <c r="I377" s="7" t="s">
        <v>161</v>
      </c>
      <c r="J377" s="7" t="s">
        <v>31</v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53" t="s">
        <v>31</v>
      </c>
      <c r="W377" s="53" t="s">
        <v>31</v>
      </c>
      <c r="X377" s="53" t="s">
        <v>31</v>
      </c>
      <c r="Y377" s="53" t="s">
        <v>31</v>
      </c>
      <c r="Z377" s="53" t="s">
        <v>31</v>
      </c>
      <c r="AA377" s="53" t="s">
        <v>31</v>
      </c>
      <c r="AB377" s="53" t="s">
        <v>31</v>
      </c>
      <c r="AC377" s="53" t="s">
        <v>31</v>
      </c>
      <c r="AD377" s="55" t="s">
        <v>31</v>
      </c>
    </row>
    <row r="378" spans="1:30" x14ac:dyDescent="0.2">
      <c r="A378" s="55"/>
      <c r="B378" s="55"/>
      <c r="C378" s="59"/>
      <c r="D378" s="55"/>
      <c r="E378" s="55"/>
      <c r="F378" s="53"/>
      <c r="G378" s="53"/>
      <c r="H378" s="53"/>
      <c r="I378" s="7" t="s">
        <v>166</v>
      </c>
      <c r="J378" s="7" t="s">
        <v>31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53"/>
      <c r="W378" s="53"/>
      <c r="X378" s="53"/>
      <c r="Y378" s="53"/>
      <c r="Z378" s="53"/>
      <c r="AA378" s="53"/>
      <c r="AB378" s="53"/>
      <c r="AC378" s="53"/>
      <c r="AD378" s="55"/>
    </row>
    <row r="379" spans="1:30" x14ac:dyDescent="0.2">
      <c r="A379" s="55"/>
      <c r="B379" s="55"/>
      <c r="C379" s="59"/>
      <c r="D379" s="55"/>
      <c r="E379" s="55"/>
      <c r="F379" s="53"/>
      <c r="G379" s="53"/>
      <c r="H379" s="53"/>
      <c r="I379" s="7" t="s">
        <v>167</v>
      </c>
      <c r="J379" s="7" t="s">
        <v>31</v>
      </c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53"/>
      <c r="W379" s="53"/>
      <c r="X379" s="53"/>
      <c r="Y379" s="53"/>
      <c r="Z379" s="53"/>
      <c r="AA379" s="53"/>
      <c r="AB379" s="53"/>
      <c r="AC379" s="53"/>
      <c r="AD379" s="55"/>
    </row>
    <row r="380" spans="1:30" x14ac:dyDescent="0.2">
      <c r="A380" s="55"/>
      <c r="B380" s="55"/>
      <c r="C380" s="59"/>
      <c r="D380" s="55"/>
      <c r="E380" s="55"/>
      <c r="F380" s="53"/>
      <c r="G380" s="53"/>
      <c r="H380" s="53"/>
      <c r="I380" s="7" t="s">
        <v>168</v>
      </c>
      <c r="J380" s="7" t="s">
        <v>31</v>
      </c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53"/>
      <c r="W380" s="53"/>
      <c r="X380" s="53"/>
      <c r="Y380" s="53"/>
      <c r="Z380" s="53"/>
      <c r="AA380" s="53"/>
      <c r="AB380" s="53"/>
      <c r="AC380" s="53"/>
      <c r="AD380" s="55"/>
    </row>
    <row r="381" spans="1:30" x14ac:dyDescent="0.2">
      <c r="A381" s="55"/>
      <c r="B381" s="55"/>
      <c r="C381" s="59"/>
      <c r="D381" s="55"/>
      <c r="E381" s="55"/>
      <c r="F381" s="53"/>
      <c r="G381" s="53"/>
      <c r="H381" s="53"/>
      <c r="I381" s="7" t="s">
        <v>165</v>
      </c>
      <c r="J381" s="7" t="s">
        <v>31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53"/>
      <c r="W381" s="53"/>
      <c r="X381" s="53"/>
      <c r="Y381" s="53"/>
      <c r="Z381" s="53"/>
      <c r="AA381" s="53"/>
      <c r="AB381" s="53"/>
      <c r="AC381" s="53"/>
      <c r="AD381" s="55"/>
    </row>
    <row r="382" spans="1:30" x14ac:dyDescent="0.2">
      <c r="A382" s="55"/>
      <c r="B382" s="55"/>
      <c r="C382" s="59"/>
      <c r="D382" s="55"/>
      <c r="E382" s="55"/>
      <c r="F382" s="53"/>
      <c r="G382" s="53"/>
      <c r="H382" s="53"/>
      <c r="I382" s="7" t="s">
        <v>164</v>
      </c>
      <c r="J382" s="7" t="s">
        <v>31</v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53"/>
      <c r="W382" s="53"/>
      <c r="X382" s="53"/>
      <c r="Y382" s="53"/>
      <c r="Z382" s="53"/>
      <c r="AA382" s="53"/>
      <c r="AB382" s="53"/>
      <c r="AC382" s="53"/>
      <c r="AD382" s="55"/>
    </row>
    <row r="383" spans="1:30" x14ac:dyDescent="0.2">
      <c r="A383" s="55"/>
      <c r="B383" s="55"/>
      <c r="C383" s="59"/>
      <c r="D383" s="55"/>
      <c r="E383" s="55"/>
      <c r="F383" s="53"/>
      <c r="G383" s="53"/>
      <c r="H383" s="53"/>
      <c r="I383" s="7" t="s">
        <v>163</v>
      </c>
      <c r="J383" s="7" t="s">
        <v>31</v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53"/>
      <c r="W383" s="53"/>
      <c r="X383" s="53"/>
      <c r="Y383" s="53"/>
      <c r="Z383" s="53"/>
      <c r="AA383" s="53"/>
      <c r="AB383" s="53"/>
      <c r="AC383" s="53"/>
      <c r="AD383" s="55"/>
    </row>
    <row r="384" spans="1:30" x14ac:dyDescent="0.2">
      <c r="A384" s="55"/>
      <c r="B384" s="53"/>
      <c r="C384" s="60"/>
      <c r="D384" s="55"/>
      <c r="E384" s="55"/>
      <c r="F384" s="53"/>
      <c r="G384" s="53"/>
      <c r="H384" s="53"/>
      <c r="I384" s="14" t="s">
        <v>144</v>
      </c>
      <c r="J384" s="14" t="s">
        <v>31</v>
      </c>
      <c r="K384" s="14"/>
      <c r="L384" s="14"/>
      <c r="M384" s="14"/>
      <c r="N384" s="14"/>
      <c r="O384" s="14"/>
      <c r="P384" s="7"/>
      <c r="Q384" s="7"/>
      <c r="R384" s="7"/>
      <c r="S384" s="7"/>
      <c r="T384" s="7"/>
      <c r="U384" s="7"/>
      <c r="V384" s="53"/>
      <c r="W384" s="53"/>
      <c r="X384" s="53"/>
      <c r="Y384" s="53"/>
      <c r="Z384" s="53"/>
      <c r="AA384" s="53"/>
      <c r="AB384" s="53"/>
      <c r="AC384" s="53"/>
      <c r="AD384" s="53"/>
    </row>
    <row r="385" spans="1:30" x14ac:dyDescent="0.2">
      <c r="A385" s="55"/>
      <c r="B385" s="55"/>
      <c r="C385" s="59"/>
      <c r="D385" s="55"/>
      <c r="E385" s="55"/>
      <c r="F385" s="53"/>
      <c r="G385" s="53"/>
      <c r="H385" s="53"/>
      <c r="I385" s="7" t="s">
        <v>162</v>
      </c>
      <c r="J385" s="7" t="s">
        <v>31</v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53"/>
      <c r="W385" s="53"/>
      <c r="X385" s="53"/>
      <c r="Y385" s="53"/>
      <c r="Z385" s="53"/>
      <c r="AA385" s="53"/>
      <c r="AB385" s="53"/>
      <c r="AC385" s="53"/>
      <c r="AD385" s="55"/>
    </row>
    <row r="386" spans="1:30" x14ac:dyDescent="0.2">
      <c r="A386" s="65" t="s">
        <v>603</v>
      </c>
      <c r="B386" s="55"/>
      <c r="C386" s="59" t="s">
        <v>482</v>
      </c>
      <c r="D386" s="55" t="s">
        <v>31</v>
      </c>
      <c r="E386" s="55" t="s">
        <v>31</v>
      </c>
      <c r="F386" s="55" t="s">
        <v>31</v>
      </c>
      <c r="G386" s="55" t="s">
        <v>31</v>
      </c>
      <c r="H386" s="55" t="s">
        <v>31</v>
      </c>
      <c r="I386" s="27" t="s">
        <v>161</v>
      </c>
      <c r="J386" s="55" t="s">
        <v>12</v>
      </c>
      <c r="K386" s="44">
        <f>L386+M386+N386+O386</f>
        <v>8989.529654218999</v>
      </c>
      <c r="L386" s="44">
        <f>L387+L388+L389+L390+L391+L392</f>
        <v>1250.1990607600001</v>
      </c>
      <c r="M386" s="44">
        <f>M387+M388+M389+M390+M391+M392</f>
        <v>3601.2601230689997</v>
      </c>
      <c r="N386" s="44">
        <f>N387+N388+N389+N390+N391+N392</f>
        <v>3093.8360486999995</v>
      </c>
      <c r="O386" s="44">
        <f>O387+O388+O389+O390+O391+O392</f>
        <v>1044.2344216900001</v>
      </c>
      <c r="P386" s="44">
        <f>P387+P388+P389+P390+P391+P392</f>
        <v>288.83411407</v>
      </c>
      <c r="Q386" s="27">
        <v>0</v>
      </c>
      <c r="R386" s="27">
        <v>0</v>
      </c>
      <c r="S386" s="27">
        <v>0</v>
      </c>
      <c r="T386" s="27">
        <v>0</v>
      </c>
      <c r="U386" s="27">
        <v>0</v>
      </c>
      <c r="V386" s="70" t="s">
        <v>12</v>
      </c>
      <c r="W386" s="70" t="s">
        <v>12</v>
      </c>
      <c r="X386" s="70" t="s">
        <v>12</v>
      </c>
      <c r="Y386" s="70" t="s">
        <v>12</v>
      </c>
      <c r="Z386" s="70" t="s">
        <v>12</v>
      </c>
      <c r="AA386" s="70" t="s">
        <v>12</v>
      </c>
      <c r="AB386" s="70" t="s">
        <v>12</v>
      </c>
      <c r="AC386" s="70" t="s">
        <v>12</v>
      </c>
      <c r="AD386" s="70" t="s">
        <v>490</v>
      </c>
    </row>
    <row r="387" spans="1:30" ht="33.75" x14ac:dyDescent="0.2">
      <c r="A387" s="65"/>
      <c r="B387" s="55"/>
      <c r="C387" s="59"/>
      <c r="D387" s="55"/>
      <c r="E387" s="55"/>
      <c r="F387" s="55"/>
      <c r="G387" s="55"/>
      <c r="H387" s="55"/>
      <c r="I387" s="27" t="s">
        <v>484</v>
      </c>
      <c r="J387" s="55"/>
      <c r="K387" s="44">
        <f t="shared" ref="K387:K392" si="41">L387+M387+N387+O387</f>
        <v>8614.2988566900003</v>
      </c>
      <c r="L387" s="44">
        <v>1074.1211960000001</v>
      </c>
      <c r="M387" s="44">
        <v>3549.9743739999999</v>
      </c>
      <c r="N387" s="44">
        <v>3033.8927749999998</v>
      </c>
      <c r="O387" s="44">
        <f>956310511.69/1000000</f>
        <v>956.31051169000011</v>
      </c>
      <c r="P387" s="27">
        <v>104.0289214</v>
      </c>
      <c r="Q387" s="27">
        <v>0</v>
      </c>
      <c r="R387" s="27">
        <v>0</v>
      </c>
      <c r="S387" s="27">
        <v>0</v>
      </c>
      <c r="T387" s="27">
        <v>0</v>
      </c>
      <c r="U387" s="27">
        <v>0</v>
      </c>
      <c r="V387" s="71"/>
      <c r="W387" s="71"/>
      <c r="X387" s="71"/>
      <c r="Y387" s="71"/>
      <c r="Z387" s="71"/>
      <c r="AA387" s="71"/>
      <c r="AB387" s="71"/>
      <c r="AC387" s="71"/>
      <c r="AD387" s="71"/>
    </row>
    <row r="388" spans="1:30" ht="33.75" x14ac:dyDescent="0.2">
      <c r="A388" s="65"/>
      <c r="B388" s="55"/>
      <c r="C388" s="59"/>
      <c r="D388" s="55"/>
      <c r="E388" s="55"/>
      <c r="F388" s="55"/>
      <c r="G388" s="55"/>
      <c r="H388" s="55"/>
      <c r="I388" s="27" t="s">
        <v>485</v>
      </c>
      <c r="J388" s="55"/>
      <c r="K388" s="44">
        <f t="shared" si="41"/>
        <v>2.3111023890000002</v>
      </c>
      <c r="L388" s="44">
        <v>0.36095306999999999</v>
      </c>
      <c r="M388" s="44">
        <v>1.9501493190000001</v>
      </c>
      <c r="N388" s="44">
        <v>0</v>
      </c>
      <c r="O388" s="44">
        <v>0</v>
      </c>
      <c r="P388" s="27">
        <v>0</v>
      </c>
      <c r="Q388" s="27">
        <v>0</v>
      </c>
      <c r="R388" s="27">
        <v>0</v>
      </c>
      <c r="S388" s="27">
        <v>0</v>
      </c>
      <c r="T388" s="27">
        <v>0</v>
      </c>
      <c r="U388" s="27">
        <v>0</v>
      </c>
      <c r="V388" s="71"/>
      <c r="W388" s="71"/>
      <c r="X388" s="71"/>
      <c r="Y388" s="71"/>
      <c r="Z388" s="71"/>
      <c r="AA388" s="71"/>
      <c r="AB388" s="71"/>
      <c r="AC388" s="71"/>
      <c r="AD388" s="71"/>
    </row>
    <row r="389" spans="1:30" ht="22.5" x14ac:dyDescent="0.2">
      <c r="A389" s="65"/>
      <c r="B389" s="55"/>
      <c r="C389" s="59"/>
      <c r="D389" s="55"/>
      <c r="E389" s="55"/>
      <c r="F389" s="55"/>
      <c r="G389" s="55"/>
      <c r="H389" s="55"/>
      <c r="I389" s="27" t="s">
        <v>486</v>
      </c>
      <c r="J389" s="55"/>
      <c r="K389" s="44">
        <f t="shared" si="41"/>
        <v>157.32417928999999</v>
      </c>
      <c r="L389" s="44">
        <v>157.32417928999999</v>
      </c>
      <c r="M389" s="44">
        <v>0</v>
      </c>
      <c r="N389" s="44">
        <v>0</v>
      </c>
      <c r="O389" s="44">
        <v>0</v>
      </c>
      <c r="P389" s="27">
        <v>0</v>
      </c>
      <c r="Q389" s="27">
        <v>0</v>
      </c>
      <c r="R389" s="27">
        <v>0</v>
      </c>
      <c r="S389" s="27">
        <v>0</v>
      </c>
      <c r="T389" s="27">
        <v>0</v>
      </c>
      <c r="U389" s="27">
        <v>0</v>
      </c>
      <c r="V389" s="71"/>
      <c r="W389" s="71"/>
      <c r="X389" s="71"/>
      <c r="Y389" s="71"/>
      <c r="Z389" s="71"/>
      <c r="AA389" s="71"/>
      <c r="AB389" s="71"/>
      <c r="AC389" s="71"/>
      <c r="AD389" s="71"/>
    </row>
    <row r="390" spans="1:30" s="25" customFormat="1" ht="22.5" x14ac:dyDescent="0.2">
      <c r="A390" s="65"/>
      <c r="B390" s="55"/>
      <c r="C390" s="59"/>
      <c r="D390" s="55"/>
      <c r="E390" s="55"/>
      <c r="F390" s="55"/>
      <c r="G390" s="55"/>
      <c r="H390" s="55"/>
      <c r="I390" s="27" t="s">
        <v>487</v>
      </c>
      <c r="J390" s="55"/>
      <c r="K390" s="44">
        <f t="shared" si="41"/>
        <v>169.99073511999998</v>
      </c>
      <c r="L390" s="44">
        <v>18.3927324</v>
      </c>
      <c r="M390" s="44">
        <v>48.579096139999997</v>
      </c>
      <c r="N390" s="44">
        <v>50.665926579999997</v>
      </c>
      <c r="O390" s="50">
        <v>52.352980000000002</v>
      </c>
      <c r="P390" s="37">
        <v>2.9581497699999999</v>
      </c>
      <c r="Q390" s="27">
        <v>0</v>
      </c>
      <c r="R390" s="27">
        <v>0</v>
      </c>
      <c r="S390" s="27">
        <v>0</v>
      </c>
      <c r="T390" s="27">
        <v>0</v>
      </c>
      <c r="U390" s="27">
        <v>0</v>
      </c>
      <c r="V390" s="71"/>
      <c r="W390" s="71"/>
      <c r="X390" s="71"/>
      <c r="Y390" s="71"/>
      <c r="Z390" s="71"/>
      <c r="AA390" s="71"/>
      <c r="AB390" s="71"/>
      <c r="AC390" s="71"/>
      <c r="AD390" s="71"/>
    </row>
    <row r="391" spans="1:30" ht="49.5" customHeight="1" x14ac:dyDescent="0.2">
      <c r="A391" s="65"/>
      <c r="B391" s="55"/>
      <c r="C391" s="59"/>
      <c r="D391" s="55"/>
      <c r="E391" s="55"/>
      <c r="F391" s="55"/>
      <c r="G391" s="55"/>
      <c r="H391" s="55"/>
      <c r="I391" s="27" t="s">
        <v>611</v>
      </c>
      <c r="J391" s="55"/>
      <c r="K391" s="44">
        <f t="shared" si="41"/>
        <v>44.848277119999999</v>
      </c>
      <c r="L391" s="44">
        <v>0</v>
      </c>
      <c r="M391" s="44">
        <v>0</v>
      </c>
      <c r="N391" s="44">
        <v>9.2773471199999999</v>
      </c>
      <c r="O391" s="44">
        <v>35.570929999999997</v>
      </c>
      <c r="P391" s="27">
        <v>181.84704289999999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  <c r="V391" s="71"/>
      <c r="W391" s="71"/>
      <c r="X391" s="71"/>
      <c r="Y391" s="71"/>
      <c r="Z391" s="71"/>
      <c r="AA391" s="71"/>
      <c r="AB391" s="71"/>
      <c r="AC391" s="71"/>
      <c r="AD391" s="71"/>
    </row>
    <row r="392" spans="1:30" s="30" customFormat="1" ht="22.5" x14ac:dyDescent="0.2">
      <c r="A392" s="31"/>
      <c r="B392" s="31"/>
      <c r="C392" s="31"/>
      <c r="D392" s="31"/>
      <c r="E392" s="31"/>
      <c r="F392" s="31"/>
      <c r="G392" s="31"/>
      <c r="H392" s="31"/>
      <c r="I392" s="27" t="s">
        <v>612</v>
      </c>
      <c r="J392" s="31"/>
      <c r="K392" s="44">
        <f t="shared" si="41"/>
        <v>0.75650360999999999</v>
      </c>
      <c r="L392" s="44"/>
      <c r="M392" s="44">
        <v>0.75650360999999999</v>
      </c>
      <c r="N392" s="44">
        <v>0</v>
      </c>
      <c r="O392" s="27">
        <v>0</v>
      </c>
      <c r="P392" s="27">
        <v>0</v>
      </c>
      <c r="Q392" s="27">
        <v>0</v>
      </c>
      <c r="R392" s="27">
        <v>0</v>
      </c>
      <c r="S392" s="27">
        <v>0</v>
      </c>
      <c r="T392" s="27">
        <v>0</v>
      </c>
      <c r="U392" s="27">
        <v>0</v>
      </c>
      <c r="V392" s="72"/>
      <c r="W392" s="72"/>
      <c r="X392" s="72"/>
      <c r="Y392" s="72"/>
      <c r="Z392" s="72"/>
      <c r="AA392" s="72"/>
      <c r="AB392" s="72"/>
      <c r="AC392" s="72"/>
      <c r="AD392" s="72"/>
    </row>
    <row r="393" spans="1:30" ht="43.5" customHeight="1" x14ac:dyDescent="0.2">
      <c r="A393" s="58" t="s">
        <v>489</v>
      </c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</row>
    <row r="395" spans="1:30" x14ac:dyDescent="0.2">
      <c r="G395" s="18"/>
      <c r="H395" s="18"/>
      <c r="I395" s="18"/>
      <c r="K395" s="22"/>
      <c r="L395" s="28"/>
      <c r="M395" s="28"/>
      <c r="N395" s="28"/>
    </row>
    <row r="396" spans="1:30" x14ac:dyDescent="0.2">
      <c r="G396" s="18"/>
      <c r="H396" s="18"/>
      <c r="I396" s="18"/>
      <c r="L396" s="28"/>
      <c r="M396" s="28"/>
      <c r="N396" s="28"/>
    </row>
    <row r="397" spans="1:30" ht="54" customHeight="1" x14ac:dyDescent="0.25">
      <c r="A397" s="52" t="s">
        <v>610</v>
      </c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8"/>
      <c r="P397" s="8"/>
      <c r="Q397" s="8"/>
      <c r="R397" s="9"/>
      <c r="S397" s="10" t="s">
        <v>609</v>
      </c>
    </row>
  </sheetData>
  <autoFilter ref="A25:AD393"/>
  <customSheetViews>
    <customSheetView guid="{C5E84CBD-13D1-4E8C-8B2D-5DBC42061D72}" scale="80" showPageBreaks="1" fitToPage="1" showAutoFilter="1">
      <pane ySplit="5" topLeftCell="A365" activePane="bottomLeft" state="frozen"/>
      <selection pane="bottomLeft" activeCell="P387" sqref="P387"/>
      <rowBreaks count="1" manualBreakCount="1">
        <brk id="348" max="39" man="1"/>
      </rowBreaks>
      <pageMargins left="0.19685039370078741" right="0.19685039370078741" top="0.74803149606299213" bottom="0.47244094488188981" header="0.31496062992125984" footer="0.31496062992125984"/>
      <printOptions horizontalCentered="1"/>
      <pageSetup paperSize="8" scale="60" fitToHeight="0" orientation="landscape" r:id="rId1"/>
      <headerFooter differentFirst="1">
        <oddHeader>&amp;C&amp;"Times New Roman,обычный"&amp;12&amp;P</oddHeader>
      </headerFooter>
      <autoFilter ref="A25:AD393"/>
    </customSheetView>
    <customSheetView guid="{D5F0C624-FA70-4EA2-98A9-85B7CEDAC8EA}" scale="85" showPageBreaks="1" fitToPage="1" showAutoFilter="1">
      <pane ySplit="5" topLeftCell="A6" activePane="bottomLeft" state="frozen"/>
      <selection pane="bottomLeft" activeCell="V6" sqref="V6:V14"/>
      <pageMargins left="0.19685039370078741" right="0.19685039370078741" top="0.74803149606299213" bottom="0.47244094488188981" header="0.31496062992125984" footer="0.31496062992125984"/>
      <printOptions horizontalCentered="1"/>
      <pageSetup paperSize="9" scale="49" fitToHeight="0" orientation="landscape" r:id="rId2"/>
      <headerFooter differentFirst="1">
        <oddHeader>&amp;C&amp;"Times New Roman,обычный"&amp;12&amp;P</oddHeader>
      </headerFooter>
      <autoFilter ref="B1:AE1"/>
    </customSheetView>
    <customSheetView guid="{B2960CAA-ED74-4DFE-BAE4-677F28CC36B0}" scale="80" fitToPage="1">
      <pane ySplit="5" topLeftCell="A115" activePane="bottomLeft" state="frozen"/>
      <selection pane="bottomLeft" activeCell="K118" sqref="K118:K233"/>
      <pageMargins left="0.19685039370078741" right="0.19685039370078741" top="0.74803149606299213" bottom="0.47244094488188981" header="0.31496062992125984" footer="0.31496062992125984"/>
      <printOptions horizontalCentered="1"/>
      <pageSetup paperSize="9" scale="49" fitToHeight="0" orientation="landscape" r:id="rId3"/>
      <headerFooter differentFirst="1">
        <oddHeader>&amp;C&amp;"Times New Roman,обычный"&amp;12&amp;P</oddHeader>
      </headerFooter>
    </customSheetView>
    <customSheetView guid="{E85BF117-0083-467C-8C72-37B7C5E28411}" scale="80" showPageBreaks="1" fitToPage="1" showAutoFilter="1">
      <pane ySplit="5" topLeftCell="A125" activePane="bottomLeft" state="frozen"/>
      <selection pane="bottomLeft" activeCell="V2" sqref="C1:V1048576"/>
      <pageMargins left="0.19685039370078741" right="0.19685039370078741" top="0.74803149606299213" bottom="0.47244094488188981" header="0.31496062992125984" footer="0.31496062992125984"/>
      <printOptions horizontalCentered="1"/>
      <pageSetup paperSize="9" scale="42" fitToHeight="0" orientation="landscape" r:id="rId4"/>
      <headerFooter differentFirst="1">
        <oddHeader>&amp;C&amp;"Times New Roman,обычный"&amp;12&amp;P</oddHeader>
      </headerFooter>
      <autoFilter ref="A5:AD393"/>
    </customSheetView>
  </customSheetViews>
  <mergeCells count="148">
    <mergeCell ref="AD366:AD374"/>
    <mergeCell ref="G386:G391"/>
    <mergeCell ref="H386:H391"/>
    <mergeCell ref="J386:J391"/>
    <mergeCell ref="AD377:AD385"/>
    <mergeCell ref="V386:V392"/>
    <mergeCell ref="W386:W392"/>
    <mergeCell ref="X386:X392"/>
    <mergeCell ref="Y386:Y392"/>
    <mergeCell ref="Z386:Z392"/>
    <mergeCell ref="AA386:AA392"/>
    <mergeCell ref="AB386:AB392"/>
    <mergeCell ref="AC386:AC392"/>
    <mergeCell ref="AD386:AD392"/>
    <mergeCell ref="Z366:Z374"/>
    <mergeCell ref="AA366:AA374"/>
    <mergeCell ref="AB366:AB374"/>
    <mergeCell ref="AC366:AC374"/>
    <mergeCell ref="B363:B365"/>
    <mergeCell ref="C363:C365"/>
    <mergeCell ref="B386:B391"/>
    <mergeCell ref="C386:C391"/>
    <mergeCell ref="D386:D391"/>
    <mergeCell ref="E386:E391"/>
    <mergeCell ref="F386:F391"/>
    <mergeCell ref="AB6:AB14"/>
    <mergeCell ref="C3:C5"/>
    <mergeCell ref="D3:H3"/>
    <mergeCell ref="D4:D5"/>
    <mergeCell ref="E4:E5"/>
    <mergeCell ref="F4:G4"/>
    <mergeCell ref="AB4:AB5"/>
    <mergeCell ref="B24:AD24"/>
    <mergeCell ref="W239:W247"/>
    <mergeCell ref="X239:X247"/>
    <mergeCell ref="Y239:Y247"/>
    <mergeCell ref="Z239:Z247"/>
    <mergeCell ref="AA239:AA247"/>
    <mergeCell ref="Z15:Z23"/>
    <mergeCell ref="Y15:Y23"/>
    <mergeCell ref="B248:AD248"/>
    <mergeCell ref="AD6:AD14"/>
    <mergeCell ref="A1:AD1"/>
    <mergeCell ref="C6:C14"/>
    <mergeCell ref="D6:D14"/>
    <mergeCell ref="E6:E14"/>
    <mergeCell ref="F6:F14"/>
    <mergeCell ref="G6:G14"/>
    <mergeCell ref="H6:H14"/>
    <mergeCell ref="B6:B14"/>
    <mergeCell ref="A6:A14"/>
    <mergeCell ref="V3:V5"/>
    <mergeCell ref="W3:Y3"/>
    <mergeCell ref="Z3:AB3"/>
    <mergeCell ref="AC3:AC5"/>
    <mergeCell ref="AD3:AD5"/>
    <mergeCell ref="W4:W5"/>
    <mergeCell ref="X4:X5"/>
    <mergeCell ref="Y4:Y5"/>
    <mergeCell ref="Z4:Z5"/>
    <mergeCell ref="AA4:AA5"/>
    <mergeCell ref="I3:U3"/>
    <mergeCell ref="I4:I5"/>
    <mergeCell ref="A3:A5"/>
    <mergeCell ref="B3:B5"/>
    <mergeCell ref="AC6:AC14"/>
    <mergeCell ref="A15:A23"/>
    <mergeCell ref="B15:B23"/>
    <mergeCell ref="C15:C23"/>
    <mergeCell ref="D15:D23"/>
    <mergeCell ref="E15:E23"/>
    <mergeCell ref="F15:F23"/>
    <mergeCell ref="G15:G23"/>
    <mergeCell ref="V6:V14"/>
    <mergeCell ref="W6:W14"/>
    <mergeCell ref="X6:X14"/>
    <mergeCell ref="Y6:Y14"/>
    <mergeCell ref="Z6:Z14"/>
    <mergeCell ref="AA6:AA14"/>
    <mergeCell ref="AA15:AA23"/>
    <mergeCell ref="AB15:AB23"/>
    <mergeCell ref="AC15:AC23"/>
    <mergeCell ref="AD15:AD23"/>
    <mergeCell ref="H15:H23"/>
    <mergeCell ref="V15:V23"/>
    <mergeCell ref="W15:W23"/>
    <mergeCell ref="X15:X23"/>
    <mergeCell ref="B234:AD234"/>
    <mergeCell ref="A239:A247"/>
    <mergeCell ref="B239:B247"/>
    <mergeCell ref="C239:C247"/>
    <mergeCell ref="D239:D247"/>
    <mergeCell ref="E239:E247"/>
    <mergeCell ref="F239:F247"/>
    <mergeCell ref="G239:G247"/>
    <mergeCell ref="H239:H247"/>
    <mergeCell ref="V239:V247"/>
    <mergeCell ref="AB239:AB247"/>
    <mergeCell ref="AC239:AC247"/>
    <mergeCell ref="AD239:AD247"/>
    <mergeCell ref="A393:AD393"/>
    <mergeCell ref="AD363:AD365"/>
    <mergeCell ref="AC363:AC365"/>
    <mergeCell ref="AB363:AB365"/>
    <mergeCell ref="AA363:AA365"/>
    <mergeCell ref="Z363:Z365"/>
    <mergeCell ref="A377:A385"/>
    <mergeCell ref="B377:B385"/>
    <mergeCell ref="C377:C385"/>
    <mergeCell ref="D377:D385"/>
    <mergeCell ref="E377:E385"/>
    <mergeCell ref="F377:F385"/>
    <mergeCell ref="D363:D365"/>
    <mergeCell ref="E363:E365"/>
    <mergeCell ref="F363:F365"/>
    <mergeCell ref="B375:AD375"/>
    <mergeCell ref="G366:G374"/>
    <mergeCell ref="H366:H374"/>
    <mergeCell ref="A366:A374"/>
    <mergeCell ref="B366:B374"/>
    <mergeCell ref="C366:C374"/>
    <mergeCell ref="D366:D374"/>
    <mergeCell ref="E366:E374"/>
    <mergeCell ref="A386:A391"/>
    <mergeCell ref="A397:N397"/>
    <mergeCell ref="W363:W365"/>
    <mergeCell ref="Y363:Y365"/>
    <mergeCell ref="V363:V365"/>
    <mergeCell ref="W366:W374"/>
    <mergeCell ref="V366:V374"/>
    <mergeCell ref="AB377:AB385"/>
    <mergeCell ref="AC377:AC385"/>
    <mergeCell ref="X377:X385"/>
    <mergeCell ref="Y377:Y385"/>
    <mergeCell ref="Z377:Z385"/>
    <mergeCell ref="AA377:AA385"/>
    <mergeCell ref="V377:V385"/>
    <mergeCell ref="W377:W385"/>
    <mergeCell ref="G363:G365"/>
    <mergeCell ref="J363:J365"/>
    <mergeCell ref="G377:G385"/>
    <mergeCell ref="H377:H385"/>
    <mergeCell ref="A363:A365"/>
    <mergeCell ref="F366:F374"/>
    <mergeCell ref="X366:X374"/>
    <mergeCell ref="Y366:Y374"/>
    <mergeCell ref="H363:H365"/>
    <mergeCell ref="X363:X365"/>
  </mergeCells>
  <phoneticPr fontId="1" type="noConversion"/>
  <printOptions horizontalCentered="1"/>
  <pageMargins left="0.19685039370078741" right="0.19685039370078741" top="0.74803149606299213" bottom="0.47244094488188981" header="0.31496062992125984" footer="0.31496062992125984"/>
  <pageSetup paperSize="8" scale="60" fitToHeight="0" orientation="landscape" r:id="rId5"/>
  <headerFooter differentFirst="1">
    <oddHeader>&amp;C&amp;"Times New Roman,обычный"&amp;12&amp;P</oddHeader>
  </headerFooter>
  <rowBreaks count="1" manualBreakCount="1">
    <brk id="348" max="39" man="1"/>
  </rowBreaks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мероприятий</vt:lpstr>
      <vt:lpstr>'План мероприятий'!Заголовки_для_печати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Жирохова Наталья Николаевна</cp:lastModifiedBy>
  <cp:lastPrinted>2025-05-30T05:36:07Z</cp:lastPrinted>
  <dcterms:created xsi:type="dcterms:W3CDTF">2023-06-07T06:55:23Z</dcterms:created>
  <dcterms:modified xsi:type="dcterms:W3CDTF">2025-06-17T13:45:53Z</dcterms:modified>
</cp:coreProperties>
</file>