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и загрузки 23.06.2021\Рабочий стол\Переезд с диска О\Предельники\Корректировка предельников 12.07.2022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Лист1!$3:$6</definedName>
    <definedName name="_xlnm.Print_Area" localSheetId="0">Лист1!$A$1:$R$68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1" l="1"/>
  <c r="X31" i="1"/>
  <c r="Q30" i="1" l="1"/>
  <c r="Q28" i="1"/>
  <c r="Q22" i="1"/>
  <c r="Q20" i="1"/>
  <c r="Q18" i="1"/>
  <c r="Q16" i="1"/>
  <c r="Q14" i="1"/>
  <c r="Q12" i="1"/>
  <c r="Q10" i="1"/>
  <c r="Q8" i="1"/>
  <c r="Q36" i="1"/>
  <c r="Q34" i="1"/>
  <c r="Q32" i="1"/>
  <c r="O26" i="1"/>
  <c r="L24" i="1"/>
  <c r="O24" i="1"/>
  <c r="M24" i="1"/>
  <c r="J24" i="1"/>
  <c r="R26" i="1"/>
  <c r="Q23" i="1"/>
  <c r="R24" i="1"/>
  <c r="Q24" i="1"/>
  <c r="S65" i="1"/>
  <c r="S66" i="1"/>
  <c r="S11" i="1"/>
  <c r="S7" i="1"/>
  <c r="S39" i="1"/>
  <c r="S41" i="1"/>
  <c r="S43" i="1"/>
  <c r="S45" i="1"/>
  <c r="S47" i="1"/>
  <c r="S49" i="1"/>
  <c r="S51" i="1"/>
  <c r="S53" i="1"/>
  <c r="S55" i="1"/>
  <c r="S57" i="1"/>
  <c r="S59" i="1"/>
  <c r="S61" i="1"/>
  <c r="S63" i="1"/>
  <c r="S37" i="1"/>
  <c r="N64" i="1"/>
  <c r="M64" i="1"/>
  <c r="O64" i="1" s="1"/>
  <c r="M63" i="1" s="1"/>
  <c r="K64" i="1"/>
  <c r="J64" i="1"/>
  <c r="L64" i="1" s="1"/>
  <c r="J63" i="1" s="1"/>
  <c r="I64" i="1"/>
  <c r="H64" i="1"/>
  <c r="G63" i="1" s="1"/>
  <c r="G64" i="1"/>
  <c r="F64" i="1"/>
  <c r="E64" i="1"/>
  <c r="D64" i="1"/>
  <c r="D63" i="1"/>
  <c r="N62" i="1"/>
  <c r="M61" i="1" s="1"/>
  <c r="M62" i="1"/>
  <c r="O62" i="1" s="1"/>
  <c r="K62" i="1"/>
  <c r="J62" i="1"/>
  <c r="L62" i="1" s="1"/>
  <c r="J61" i="1" s="1"/>
  <c r="I62" i="1"/>
  <c r="H62" i="1"/>
  <c r="G61" i="1" s="1"/>
  <c r="G62" i="1"/>
  <c r="F62" i="1"/>
  <c r="E62" i="1"/>
  <c r="D62" i="1"/>
  <c r="D61" i="1"/>
  <c r="N60" i="1"/>
  <c r="M60" i="1"/>
  <c r="O60" i="1" s="1"/>
  <c r="M59" i="1" s="1"/>
  <c r="K60" i="1"/>
  <c r="J60" i="1"/>
  <c r="I60" i="1"/>
  <c r="H60" i="1"/>
  <c r="G60" i="1"/>
  <c r="G59" i="1" s="1"/>
  <c r="N58" i="1"/>
  <c r="M58" i="1"/>
  <c r="L58" i="1"/>
  <c r="J57" i="1" s="1"/>
  <c r="K58" i="1"/>
  <c r="J58" i="1"/>
  <c r="H58" i="1"/>
  <c r="G58" i="1"/>
  <c r="I58" i="1" s="1"/>
  <c r="E58" i="1"/>
  <c r="D58" i="1"/>
  <c r="H56" i="1"/>
  <c r="G56" i="1"/>
  <c r="F56" i="1"/>
  <c r="E56" i="1"/>
  <c r="D56" i="1"/>
  <c r="D55" i="1" s="1"/>
  <c r="N54" i="1"/>
  <c r="M54" i="1"/>
  <c r="O54" i="1" s="1"/>
  <c r="L54" i="1"/>
  <c r="J53" i="1" s="1"/>
  <c r="K54" i="1"/>
  <c r="J54" i="1"/>
  <c r="H54" i="1"/>
  <c r="G54" i="1"/>
  <c r="I54" i="1" s="1"/>
  <c r="G53" i="1" s="1"/>
  <c r="N52" i="1"/>
  <c r="M52" i="1"/>
  <c r="O52" i="1" s="1"/>
  <c r="K52" i="1"/>
  <c r="J52" i="1"/>
  <c r="L52" i="1" s="1"/>
  <c r="J51" i="1" s="1"/>
  <c r="I52" i="1"/>
  <c r="H52" i="1"/>
  <c r="G51" i="1" s="1"/>
  <c r="G52" i="1"/>
  <c r="F52" i="1"/>
  <c r="E52" i="1"/>
  <c r="D52" i="1"/>
  <c r="D51" i="1"/>
  <c r="H50" i="1"/>
  <c r="G50" i="1"/>
  <c r="I50" i="1" s="1"/>
  <c r="G49" i="1" s="1"/>
  <c r="E50" i="1"/>
  <c r="D50" i="1"/>
  <c r="F50" i="1" s="1"/>
  <c r="D49" i="1" s="1"/>
  <c r="N48" i="1"/>
  <c r="M48" i="1"/>
  <c r="O48" i="1" s="1"/>
  <c r="K48" i="1"/>
  <c r="J48" i="1"/>
  <c r="L48" i="1" s="1"/>
  <c r="J47" i="1" s="1"/>
  <c r="I48" i="1"/>
  <c r="H48" i="1"/>
  <c r="G48" i="1"/>
  <c r="G47" i="1" s="1"/>
  <c r="N46" i="1"/>
  <c r="M46" i="1"/>
  <c r="L46" i="1"/>
  <c r="K46" i="1"/>
  <c r="J46" i="1"/>
  <c r="J45" i="1" s="1"/>
  <c r="H46" i="1"/>
  <c r="G46" i="1"/>
  <c r="I46" i="1" s="1"/>
  <c r="G45" i="1" s="1"/>
  <c r="E46" i="1"/>
  <c r="D46" i="1"/>
  <c r="H44" i="1"/>
  <c r="G44" i="1"/>
  <c r="F44" i="1"/>
  <c r="E44" i="1"/>
  <c r="D44" i="1"/>
  <c r="D43" i="1" s="1"/>
  <c r="N42" i="1"/>
  <c r="M42" i="1"/>
  <c r="O42" i="1" s="1"/>
  <c r="L42" i="1"/>
  <c r="K42" i="1"/>
  <c r="J42" i="1"/>
  <c r="J41" i="1" s="1"/>
  <c r="H42" i="1"/>
  <c r="G42" i="1"/>
  <c r="I42" i="1" s="1"/>
  <c r="G41" i="1" s="1"/>
  <c r="N40" i="1"/>
  <c r="M40" i="1"/>
  <c r="O40" i="1" s="1"/>
  <c r="K40" i="1"/>
  <c r="J40" i="1"/>
  <c r="L40" i="1" s="1"/>
  <c r="J39" i="1" s="1"/>
  <c r="I40" i="1"/>
  <c r="H40" i="1"/>
  <c r="G39" i="1" s="1"/>
  <c r="G40" i="1"/>
  <c r="F40" i="1"/>
  <c r="E40" i="1"/>
  <c r="D40" i="1"/>
  <c r="D39" i="1"/>
  <c r="H38" i="1"/>
  <c r="G38" i="1"/>
  <c r="I38" i="1" s="1"/>
  <c r="E38" i="1"/>
  <c r="D38" i="1"/>
  <c r="F38" i="1" s="1"/>
  <c r="D37" i="1" s="1"/>
  <c r="M39" i="1" l="1"/>
  <c r="M51" i="1"/>
  <c r="G55" i="1"/>
  <c r="M57" i="1"/>
  <c r="M45" i="1"/>
  <c r="M47" i="1"/>
  <c r="G37" i="1"/>
  <c r="M41" i="1"/>
  <c r="F46" i="1"/>
  <c r="D45" i="1" s="1"/>
  <c r="M53" i="1"/>
  <c r="F58" i="1"/>
  <c r="D57" i="1" s="1"/>
  <c r="I44" i="1"/>
  <c r="G43" i="1" s="1"/>
  <c r="O46" i="1"/>
  <c r="I56" i="1"/>
  <c r="O58" i="1"/>
  <c r="L60" i="1"/>
  <c r="J59" i="1" s="1"/>
  <c r="G57" i="1"/>
  <c r="O22" i="1" l="1"/>
  <c r="O20" i="1"/>
  <c r="L22" i="1"/>
  <c r="I22" i="1"/>
  <c r="I20" i="1"/>
  <c r="F22" i="1"/>
  <c r="O36" i="1"/>
  <c r="O34" i="1"/>
  <c r="L36" i="1"/>
  <c r="L34" i="1"/>
  <c r="I36" i="1"/>
  <c r="I34" i="1"/>
  <c r="I32" i="1"/>
  <c r="F34" i="1"/>
  <c r="D33" i="1" s="1"/>
  <c r="F32" i="1"/>
  <c r="D31" i="1" s="1"/>
  <c r="N30" i="1"/>
  <c r="M30" i="1"/>
  <c r="O30" i="1" s="1"/>
  <c r="K30" i="1"/>
  <c r="J30" i="1"/>
  <c r="L30" i="1" s="1"/>
  <c r="H30" i="1"/>
  <c r="G30" i="1"/>
  <c r="I30" i="1" s="1"/>
  <c r="E30" i="1"/>
  <c r="D30" i="1"/>
  <c r="F30" i="1" s="1"/>
  <c r="D29" i="1" s="1"/>
  <c r="N28" i="1"/>
  <c r="M28" i="1"/>
  <c r="O28" i="1" s="1"/>
  <c r="K28" i="1"/>
  <c r="J28" i="1"/>
  <c r="L28" i="1" s="1"/>
  <c r="J27" i="1" s="1"/>
  <c r="H28" i="1"/>
  <c r="G28" i="1"/>
  <c r="I28" i="1" s="1"/>
  <c r="F28" i="1"/>
  <c r="E28" i="1"/>
  <c r="D28" i="1"/>
  <c r="D27" i="1" s="1"/>
  <c r="O18" i="1"/>
  <c r="M17" i="1" s="1"/>
  <c r="L18" i="1"/>
  <c r="J17" i="1" s="1"/>
  <c r="I18" i="1"/>
  <c r="G17" i="1" s="1"/>
  <c r="F18" i="1"/>
  <c r="D17" i="1"/>
  <c r="O16" i="1"/>
  <c r="M15" i="1" s="1"/>
  <c r="L16" i="1"/>
  <c r="J15" i="1" s="1"/>
  <c r="I16" i="1"/>
  <c r="G15" i="1" s="1"/>
  <c r="F16" i="1"/>
  <c r="D15" i="1"/>
  <c r="O14" i="1"/>
  <c r="M13" i="1" s="1"/>
  <c r="L14" i="1"/>
  <c r="J13" i="1" s="1"/>
  <c r="I14" i="1"/>
  <c r="G13" i="1" s="1"/>
  <c r="F14" i="1"/>
  <c r="D13" i="1" s="1"/>
  <c r="O12" i="1"/>
  <c r="M11" i="1" s="1"/>
  <c r="L12" i="1"/>
  <c r="J11" i="1" s="1"/>
  <c r="I12" i="1"/>
  <c r="G11" i="1" s="1"/>
  <c r="F12" i="1"/>
  <c r="D11" i="1"/>
  <c r="O10" i="1"/>
  <c r="M9" i="1" s="1"/>
  <c r="L10" i="1"/>
  <c r="J9" i="1" s="1"/>
  <c r="I10" i="1"/>
  <c r="G9" i="1" s="1"/>
  <c r="F10" i="1"/>
  <c r="D9" i="1"/>
  <c r="O8" i="1"/>
  <c r="M7" i="1" s="1"/>
  <c r="L8" i="1"/>
  <c r="J7" i="1" s="1"/>
  <c r="I8" i="1"/>
  <c r="G7" i="1" s="1"/>
  <c r="F8" i="1"/>
  <c r="D7" i="1" s="1"/>
  <c r="G29" i="1" l="1"/>
  <c r="M27" i="1"/>
  <c r="J29" i="1"/>
  <c r="G27" i="1"/>
  <c r="M29" i="1"/>
  <c r="R34" i="1" l="1"/>
  <c r="L20" i="1"/>
  <c r="J35" i="1"/>
  <c r="J33" i="1"/>
  <c r="G35" i="1"/>
  <c r="R36" i="1" l="1"/>
  <c r="R32" i="1"/>
  <c r="R22" i="1"/>
  <c r="R20" i="1"/>
  <c r="R18" i="1"/>
  <c r="R16" i="1"/>
  <c r="R14" i="1"/>
  <c r="Q13" i="1" s="1"/>
  <c r="R12" i="1"/>
  <c r="R10" i="1"/>
  <c r="R8" i="1"/>
  <c r="F20" i="1" l="1"/>
  <c r="Q33" i="1"/>
  <c r="R30" i="1"/>
  <c r="R28" i="1"/>
  <c r="Q7" i="1"/>
  <c r="G19" i="1"/>
  <c r="M35" i="1"/>
  <c r="G33" i="1"/>
  <c r="G31" i="1"/>
  <c r="M21" i="1"/>
  <c r="M23" i="1"/>
  <c r="J23" i="1"/>
  <c r="J21" i="1"/>
  <c r="J19" i="1"/>
  <c r="G21" i="1"/>
  <c r="D21" i="1"/>
  <c r="M33" i="1"/>
  <c r="M19" i="1"/>
  <c r="Q27" i="1" l="1"/>
  <c r="Q29" i="1"/>
  <c r="D19" i="1"/>
  <c r="Q17" i="1"/>
  <c r="Q15" i="1"/>
  <c r="Q11" i="1"/>
  <c r="Q9" i="1"/>
  <c r="Q35" i="1"/>
  <c r="Q31" i="1"/>
  <c r="Q21" i="1"/>
  <c r="Q19" i="1"/>
</calcChain>
</file>

<file path=xl/sharedStrings.xml><?xml version="1.0" encoding="utf-8"?>
<sst xmlns="http://schemas.openxmlformats.org/spreadsheetml/2006/main" count="157" uniqueCount="68">
  <si>
    <t>Вид услуг и (или) работ по капитальному ремонту  общего имущества</t>
  </si>
  <si>
    <t>до 0,25 тыс.кв.м.</t>
  </si>
  <si>
    <t xml:space="preserve"> от 0,25 до 1 тыс.кв.м.</t>
  </si>
  <si>
    <t>от 1 до 2 тыс.кв.м.</t>
  </si>
  <si>
    <t xml:space="preserve"> свыше 2 тыс.кв.м.</t>
  </si>
  <si>
    <t>Капитальный ремонт (СМР)</t>
  </si>
  <si>
    <t>Строительный контроль</t>
  </si>
  <si>
    <t>в  том числе</t>
  </si>
  <si>
    <t>100000**</t>
  </si>
  <si>
    <t xml:space="preserve">Ремонт системы электроснабжения    </t>
  </si>
  <si>
    <t>всего, руб./погонный метр трубопровода</t>
  </si>
  <si>
    <t>всего, рублей</t>
  </si>
  <si>
    <t>всего, руб/погонный метр газопровода</t>
  </si>
  <si>
    <t xml:space="preserve">Ремонт системы газоснабжения </t>
  </si>
  <si>
    <t>всего, руб/шт</t>
  </si>
  <si>
    <t>Ремонт фасада</t>
  </si>
  <si>
    <t>Ремонт системы теплоснабжения</t>
  </si>
  <si>
    <t xml:space="preserve">в  том числе </t>
  </si>
  <si>
    <t xml:space="preserve">Предельная стоимость работ, используемая при формировании (актуализации) областной программы "Капитальный ремонт общего имущества многоквартирных домов в Кировской области" </t>
  </si>
  <si>
    <t>всего, руб/кв.м. фасада</t>
  </si>
  <si>
    <t>всего, руб/кв.м. кровли</t>
  </si>
  <si>
    <t>всего, руб/за остановку свыше 9 этажей</t>
  </si>
  <si>
    <t>единица измерения</t>
  </si>
  <si>
    <t xml:space="preserve">Ремонт системы горячего водоснабжения </t>
  </si>
  <si>
    <t xml:space="preserve">Ремонт системы холодного водоснабжения </t>
  </si>
  <si>
    <t xml:space="preserve">Ремонт системы  водоотведения </t>
  </si>
  <si>
    <t xml:space="preserve">Плоской </t>
  </si>
  <si>
    <t>Скатной</t>
  </si>
  <si>
    <t>деревянный</t>
  </si>
  <si>
    <t xml:space="preserve">кирпичный </t>
  </si>
  <si>
    <t>панельный</t>
  </si>
  <si>
    <t xml:space="preserve">всего, руб./погонный метр трубопровода </t>
  </si>
  <si>
    <t>** при расчете предельной стоимости разработки проектной документации на ремонт (замену, модернизацию) лифтов в МКД с количеством лифтов более одного – на каждый последующий лифт применять к предельной стоимости проектирования  К=0,6.</t>
  </si>
  <si>
    <t xml:space="preserve">Ремонт крыши </t>
  </si>
  <si>
    <t>*** при отсутствии подвала в МКД в качестве единицы измерения используется рубль/кв. метр площади застройки МКД</t>
  </si>
  <si>
    <t xml:space="preserve">Приложение
УТВЕРЖДЕН
распоряжением министерства строительства, энергетики и жилищно-коммунального хозяйства 
Кировской области
от                                     № 
</t>
  </si>
  <si>
    <t xml:space="preserve">Предельная стоимость работ, применяемая при необходимости выполнения работ в объеме, предусмотренном проектной документацией, в случае ее превышения предельной стоимости работ,  используемой при формировании (актуализации) областной программы "Капитальный ремонт общего имущества многоквартирных домов в Кировской области"  
</t>
  </si>
  <si>
    <t xml:space="preserve">комплекс работ по капитальному ремонту наружных конструктивных элементов многоквартирного дома (крыша плоская, фасад деревянный,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</si>
  <si>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кирпичный,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</si>
  <si>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панельный,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</si>
  <si>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деревянный,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</si>
  <si>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кирпичный,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</si>
  <si>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панельный,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</si>
  <si>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деревянный, фундамент)
</t>
  </si>
  <si>
    <t xml:space="preserve">комплекс работ по капитальному ремонту наружных конструктивных элементов многоквартирного дома (крыша плоская, фасад кирпичный, фундамент)
</t>
  </si>
  <si>
    <t xml:space="preserve">комплекс работ по капитальному ремонту наружных конструктивных элементов многоквартирного дома (крыша плоская, фасад панельный,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</si>
  <si>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деревянный,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</si>
  <si>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кирпичный,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</si>
  <si>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панельный, фундамент)
</t>
  </si>
  <si>
    <t xml:space="preserve">комплекс работ по капитальному ремонту внутридомовых инженерных систем холодного водоснабжения, водоотведения и отопления многоквартирного дома
</t>
  </si>
  <si>
    <t xml:space="preserve">комплекс работ по капитальному ремонту внутридомовых инженерных систем холодного и горячего водоснабжения, водоотведения и отопления многоквартирного дома
</t>
  </si>
  <si>
    <t>Ремонт подвальных помещений</t>
  </si>
  <si>
    <t>Ремонт фундамента</t>
  </si>
  <si>
    <t>площадь МКД**</t>
  </si>
  <si>
    <t>площадь  МКД**</t>
  </si>
  <si>
    <t>всего, руб./кв. метр площади МКД*</t>
  </si>
  <si>
    <t>Размер предельной стоимости каждого из видов услуг и (или) работ по капитальному ремонту общего имущества в многоквартирном доме, который может оплачиваться за счет средств фонда капитального ремонта, сформированного исходя из минимального размера взноса на капитальный ремонт общего имущества в многоквартирном доме, на 2022 год</t>
  </si>
  <si>
    <t>всего, руб/кв. метр подвала***</t>
  </si>
  <si>
    <t>всего, руб/кв. метр подвала</t>
  </si>
  <si>
    <t>всего, руб./кв. метр уборочной площади МКД</t>
  </si>
  <si>
    <t>* площадь МКД = общая площадь квартир здания + общая площадь обособленных нежилых помещений здания</t>
  </si>
  <si>
    <t>р/м2/месяц</t>
  </si>
  <si>
    <t>р/м2 за 30 лет КР</t>
  </si>
  <si>
    <t>не более  9 остановок</t>
  </si>
  <si>
    <t>добавлять на каждую остановку более 9</t>
  </si>
  <si>
    <t>Ремонт, замена, модернизацию лифтов, ремонт лифтовых шахт, машинных и блочных помещений</t>
  </si>
  <si>
    <t>Разработка проектной документации****</t>
  </si>
  <si>
    <t>**** разработка проектной документации включает в себя в том числе стоимость проведения экспертизы проектной документации при проведении аукционов в соответствии с пунктом 78(1) Постановления Правительства Российской Федерации от 01.07.2016 № 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</si>
</sst>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view="pageBreakPreview" topLeftCell="A2" zoomScale="70" zoomScaleNormal="70" zoomScaleSheetLayoutView="70" workbookViewId="0">
      <pane xSplit="2" ySplit="5" topLeftCell="C22" activePane="bottomRight" state="frozen"/>
      <selection activeCell="A4" sqref="A4"/>
      <selection pane="topRight" activeCell="C4" sqref="C4"/>
      <selection pane="bottomLeft" activeCell="A7" sqref="A7"/>
      <selection pane="bottomRight" activeCell="X33" sqref="X33"/>
    </sheetView>
  </sheetViews>
  <sheetFormatPr defaultRowHeight="15.75" x14ac:dyDescent="0.25"/>
  <cols>
    <col min="1" max="1" width="26.7109375" style="25" customWidth="1"/>
    <col min="2" max="2" width="21.5703125" style="26" customWidth="1"/>
    <col min="3" max="3" width="24.42578125" style="26" customWidth="1"/>
    <col min="4" max="4" width="14" style="27" customWidth="1"/>
    <col min="5" max="5" width="19.7109375" style="27" customWidth="1"/>
    <col min="6" max="6" width="15" style="27" customWidth="1"/>
    <col min="7" max="7" width="10.7109375" style="27" customWidth="1"/>
    <col min="8" max="8" width="15.42578125" style="27" customWidth="1"/>
    <col min="9" max="9" width="15" style="27" customWidth="1"/>
    <col min="10" max="10" width="14.140625" style="27" customWidth="1"/>
    <col min="11" max="11" width="15" style="27" customWidth="1"/>
    <col min="12" max="12" width="15.42578125" style="27" customWidth="1"/>
    <col min="13" max="13" width="14" style="27" customWidth="1"/>
    <col min="14" max="14" width="22.7109375" style="27" customWidth="1"/>
    <col min="15" max="15" width="17.5703125" style="27" customWidth="1"/>
    <col min="16" max="16" width="22.85546875" style="26" customWidth="1"/>
    <col min="17" max="17" width="16.42578125" style="2" customWidth="1"/>
    <col min="18" max="18" width="16.28515625" style="2" customWidth="1"/>
    <col min="19" max="19" width="12.85546875" style="30" hidden="1" customWidth="1"/>
    <col min="20" max="20" width="19.7109375" style="25" hidden="1" customWidth="1"/>
    <col min="21" max="16384" width="9.140625" style="25"/>
  </cols>
  <sheetData>
    <row r="1" spans="1:19" ht="144" hidden="1" customHeight="1" x14ac:dyDescent="0.25">
      <c r="P1" s="28" t="s">
        <v>35</v>
      </c>
      <c r="Q1" s="29"/>
      <c r="R1" s="29"/>
    </row>
    <row r="2" spans="1:19" ht="46.5" customHeight="1" x14ac:dyDescent="0.25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ht="93.75" customHeight="1" x14ac:dyDescent="0.25">
      <c r="A3" s="22" t="s">
        <v>0</v>
      </c>
      <c r="B3" s="22"/>
      <c r="C3" s="22" t="s">
        <v>18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36</v>
      </c>
      <c r="Q3" s="22"/>
      <c r="R3" s="22"/>
    </row>
    <row r="4" spans="1:19" ht="33" customHeight="1" x14ac:dyDescent="0.25">
      <c r="A4" s="22"/>
      <c r="B4" s="22"/>
      <c r="C4" s="22" t="s">
        <v>22</v>
      </c>
      <c r="D4" s="22" t="s">
        <v>53</v>
      </c>
      <c r="E4" s="22"/>
      <c r="F4" s="22"/>
      <c r="G4" s="32" t="s">
        <v>54</v>
      </c>
      <c r="H4" s="33"/>
      <c r="I4" s="34"/>
      <c r="J4" s="32" t="s">
        <v>54</v>
      </c>
      <c r="K4" s="33"/>
      <c r="L4" s="34"/>
      <c r="M4" s="32" t="s">
        <v>54</v>
      </c>
      <c r="N4" s="33"/>
      <c r="O4" s="34"/>
      <c r="P4" s="22"/>
      <c r="Q4" s="22"/>
      <c r="R4" s="22"/>
    </row>
    <row r="5" spans="1:19" ht="15.75" customHeight="1" x14ac:dyDescent="0.25">
      <c r="A5" s="22"/>
      <c r="B5" s="22"/>
      <c r="C5" s="22"/>
      <c r="D5" s="32" t="s">
        <v>1</v>
      </c>
      <c r="E5" s="33"/>
      <c r="F5" s="34"/>
      <c r="G5" s="22" t="s">
        <v>2</v>
      </c>
      <c r="H5" s="22"/>
      <c r="I5" s="22"/>
      <c r="J5" s="22" t="s">
        <v>3</v>
      </c>
      <c r="K5" s="22"/>
      <c r="L5" s="22"/>
      <c r="M5" s="22" t="s">
        <v>4</v>
      </c>
      <c r="N5" s="22"/>
      <c r="O5" s="22"/>
      <c r="P5" s="22"/>
      <c r="Q5" s="22"/>
      <c r="R5" s="22"/>
    </row>
    <row r="6" spans="1:19" ht="99" customHeight="1" x14ac:dyDescent="0.25">
      <c r="A6" s="22"/>
      <c r="B6" s="22"/>
      <c r="C6" s="22"/>
      <c r="D6" s="10" t="s">
        <v>5</v>
      </c>
      <c r="E6" s="10" t="s">
        <v>66</v>
      </c>
      <c r="F6" s="10" t="s">
        <v>6</v>
      </c>
      <c r="G6" s="10" t="s">
        <v>5</v>
      </c>
      <c r="H6" s="10" t="s">
        <v>66</v>
      </c>
      <c r="I6" s="10" t="s">
        <v>6</v>
      </c>
      <c r="J6" s="10" t="s">
        <v>5</v>
      </c>
      <c r="K6" s="10" t="s">
        <v>66</v>
      </c>
      <c r="L6" s="10" t="s">
        <v>6</v>
      </c>
      <c r="M6" s="10" t="s">
        <v>5</v>
      </c>
      <c r="N6" s="10" t="s">
        <v>66</v>
      </c>
      <c r="O6" s="10" t="s">
        <v>6</v>
      </c>
      <c r="P6" s="10" t="s">
        <v>22</v>
      </c>
      <c r="Q6" s="3" t="s">
        <v>5</v>
      </c>
      <c r="R6" s="5" t="s">
        <v>6</v>
      </c>
    </row>
    <row r="7" spans="1:19" ht="47.25" x14ac:dyDescent="0.25">
      <c r="A7" s="22" t="s">
        <v>9</v>
      </c>
      <c r="B7" s="22"/>
      <c r="C7" s="10" t="s">
        <v>55</v>
      </c>
      <c r="D7" s="23">
        <f>SUM(D8:F8)</f>
        <v>915.6</v>
      </c>
      <c r="E7" s="23"/>
      <c r="F7" s="23"/>
      <c r="G7" s="23">
        <f>SUM(G8:I8)</f>
        <v>504</v>
      </c>
      <c r="H7" s="23"/>
      <c r="I7" s="23"/>
      <c r="J7" s="23">
        <f>SUM(J8:L8)</f>
        <v>379.9</v>
      </c>
      <c r="K7" s="23"/>
      <c r="L7" s="23"/>
      <c r="M7" s="23">
        <f>SUM(M8:O8)</f>
        <v>366</v>
      </c>
      <c r="N7" s="23"/>
      <c r="O7" s="23"/>
      <c r="P7" s="10" t="s">
        <v>59</v>
      </c>
      <c r="Q7" s="23">
        <f>Q8+R8</f>
        <v>6334.3372000000008</v>
      </c>
      <c r="R7" s="23"/>
      <c r="S7" s="35">
        <f>AVERAGE(D7:O7)</f>
        <v>541.375</v>
      </c>
    </row>
    <row r="8" spans="1:19" ht="15.75" customHeight="1" x14ac:dyDescent="0.25">
      <c r="A8" s="22"/>
      <c r="B8" s="22"/>
      <c r="C8" s="10" t="s">
        <v>7</v>
      </c>
      <c r="D8" s="7">
        <v>726</v>
      </c>
      <c r="E8" s="7">
        <v>174</v>
      </c>
      <c r="F8" s="7">
        <f>ROUNDUP(D8*2.14%,1)</f>
        <v>15.6</v>
      </c>
      <c r="G8" s="7">
        <v>418</v>
      </c>
      <c r="H8" s="7">
        <v>77</v>
      </c>
      <c r="I8" s="7">
        <f>ROUNDUP(G8*2.14%,1)</f>
        <v>9</v>
      </c>
      <c r="J8" s="7">
        <v>321</v>
      </c>
      <c r="K8" s="7">
        <v>52</v>
      </c>
      <c r="L8" s="7">
        <f>ROUNDUP(J8*2.14%,1)</f>
        <v>6.8999999999999995</v>
      </c>
      <c r="M8" s="7">
        <v>326</v>
      </c>
      <c r="N8" s="7">
        <v>33</v>
      </c>
      <c r="O8" s="7">
        <f>ROUNDUP(M8*2.14%,1)</f>
        <v>7</v>
      </c>
      <c r="P8" s="10" t="s">
        <v>7</v>
      </c>
      <c r="Q8" s="7">
        <f>5546*1.1182</f>
        <v>6201.5372000000007</v>
      </c>
      <c r="R8" s="4">
        <f>ROUNDUP(Q8*2.14%,1)</f>
        <v>132.79999999999998</v>
      </c>
    </row>
    <row r="9" spans="1:19" ht="54.75" customHeight="1" x14ac:dyDescent="0.25">
      <c r="A9" s="22" t="s">
        <v>16</v>
      </c>
      <c r="B9" s="22"/>
      <c r="C9" s="10" t="s">
        <v>55</v>
      </c>
      <c r="D9" s="23">
        <f>SUM(D10:F10)</f>
        <v>1851.4</v>
      </c>
      <c r="E9" s="23"/>
      <c r="F9" s="23"/>
      <c r="G9" s="23">
        <f>SUM(G10:I10)</f>
        <v>1851.4</v>
      </c>
      <c r="H9" s="23"/>
      <c r="I9" s="23"/>
      <c r="J9" s="23">
        <f>SUM(J10:L10)</f>
        <v>1851.4</v>
      </c>
      <c r="K9" s="23"/>
      <c r="L9" s="23"/>
      <c r="M9" s="23">
        <f>SUM(M10:O10)</f>
        <v>1822.1</v>
      </c>
      <c r="N9" s="23"/>
      <c r="O9" s="23"/>
      <c r="P9" s="10" t="s">
        <v>10</v>
      </c>
      <c r="Q9" s="23">
        <f>Q10+R10</f>
        <v>3914.1714000000002</v>
      </c>
      <c r="R9" s="23"/>
    </row>
    <row r="10" spans="1:19" x14ac:dyDescent="0.25">
      <c r="A10" s="22"/>
      <c r="B10" s="22"/>
      <c r="C10" s="10" t="s">
        <v>7</v>
      </c>
      <c r="D10" s="7">
        <v>1697</v>
      </c>
      <c r="E10" s="7">
        <v>118</v>
      </c>
      <c r="F10" s="7">
        <f>ROUNDUP(D10*2.14%,1)</f>
        <v>36.4</v>
      </c>
      <c r="G10" s="7">
        <v>1697</v>
      </c>
      <c r="H10" s="7">
        <v>118</v>
      </c>
      <c r="I10" s="7">
        <f>ROUNDUP(G10*2.14%,1)</f>
        <v>36.4</v>
      </c>
      <c r="J10" s="7">
        <v>1697</v>
      </c>
      <c r="K10" s="7">
        <v>118</v>
      </c>
      <c r="L10" s="7">
        <f>ROUNDUP(J10*2.14%,1)</f>
        <v>36.4</v>
      </c>
      <c r="M10" s="7">
        <v>1729</v>
      </c>
      <c r="N10" s="7">
        <v>56</v>
      </c>
      <c r="O10" s="7">
        <f>ROUNDUP(M10*2.14%,1)</f>
        <v>37.1</v>
      </c>
      <c r="P10" s="10" t="s">
        <v>7</v>
      </c>
      <c r="Q10" s="4">
        <f>3427*1.1182</f>
        <v>3832.0714000000003</v>
      </c>
      <c r="R10" s="4">
        <f>ROUNDUP(Q10*2.14%,1)</f>
        <v>82.1</v>
      </c>
    </row>
    <row r="11" spans="1:19" ht="45.75" customHeight="1" x14ac:dyDescent="0.25">
      <c r="A11" s="22" t="s">
        <v>13</v>
      </c>
      <c r="B11" s="22"/>
      <c r="C11" s="10" t="s">
        <v>55</v>
      </c>
      <c r="D11" s="23">
        <f>SUM(D12:F12)</f>
        <v>852.3</v>
      </c>
      <c r="E11" s="23"/>
      <c r="F11" s="23"/>
      <c r="G11" s="23">
        <f>SUM(G12:I12)</f>
        <v>852.3</v>
      </c>
      <c r="H11" s="23"/>
      <c r="I11" s="23"/>
      <c r="J11" s="23">
        <f>SUM(J12:L12)</f>
        <v>780.9</v>
      </c>
      <c r="K11" s="23"/>
      <c r="L11" s="23"/>
      <c r="M11" s="23">
        <f>SUM(M12:O12)</f>
        <v>595.4</v>
      </c>
      <c r="N11" s="23"/>
      <c r="O11" s="23"/>
      <c r="P11" s="10" t="s">
        <v>12</v>
      </c>
      <c r="Q11" s="23">
        <f>Q12+R12</f>
        <v>5521.0788000000002</v>
      </c>
      <c r="R11" s="23"/>
      <c r="S11" s="35">
        <f>AVERAGE(D11:O11)</f>
        <v>770.22500000000002</v>
      </c>
    </row>
    <row r="12" spans="1:19" x14ac:dyDescent="0.25">
      <c r="A12" s="22"/>
      <c r="B12" s="22"/>
      <c r="C12" s="10" t="s">
        <v>7</v>
      </c>
      <c r="D12" s="7">
        <v>760</v>
      </c>
      <c r="E12" s="7">
        <v>76</v>
      </c>
      <c r="F12" s="7">
        <f>ROUNDUP(D12*2.14%,1)</f>
        <v>16.3</v>
      </c>
      <c r="G12" s="7">
        <v>760</v>
      </c>
      <c r="H12" s="7">
        <v>76</v>
      </c>
      <c r="I12" s="7">
        <f>ROUNDUP(G12*2.14%,1)</f>
        <v>16.3</v>
      </c>
      <c r="J12" s="7">
        <v>696</v>
      </c>
      <c r="K12" s="7">
        <v>70</v>
      </c>
      <c r="L12" s="7">
        <f>ROUNDUP(J12*2.14%,1)</f>
        <v>14.9</v>
      </c>
      <c r="M12" s="7">
        <v>531</v>
      </c>
      <c r="N12" s="7">
        <v>53</v>
      </c>
      <c r="O12" s="7">
        <f>ROUNDUP(M12*2.14%,1)</f>
        <v>11.4</v>
      </c>
      <c r="P12" s="10" t="s">
        <v>7</v>
      </c>
      <c r="Q12" s="4">
        <f>4834*1.1182</f>
        <v>5405.3788000000004</v>
      </c>
      <c r="R12" s="4">
        <f>ROUNDUP(Q12*2.14%,1)</f>
        <v>115.69999999999999</v>
      </c>
    </row>
    <row r="13" spans="1:19" ht="31.5" x14ac:dyDescent="0.25">
      <c r="A13" s="22" t="s">
        <v>24</v>
      </c>
      <c r="B13" s="22"/>
      <c r="C13" s="10" t="s">
        <v>55</v>
      </c>
      <c r="D13" s="23">
        <f>SUM(D14:F14)</f>
        <v>1262.2</v>
      </c>
      <c r="E13" s="23"/>
      <c r="F13" s="23"/>
      <c r="G13" s="23">
        <f>SUM(G14:I14)</f>
        <v>1487.4</v>
      </c>
      <c r="H13" s="23"/>
      <c r="I13" s="23"/>
      <c r="J13" s="23">
        <f>SUM(J14:L14)</f>
        <v>1141.8</v>
      </c>
      <c r="K13" s="23"/>
      <c r="L13" s="23"/>
      <c r="M13" s="23">
        <f>SUM(M14:O14)</f>
        <v>1189.8</v>
      </c>
      <c r="N13" s="23"/>
      <c r="O13" s="23"/>
      <c r="P13" s="10" t="s">
        <v>31</v>
      </c>
      <c r="Q13" s="23">
        <f>Q14+R14</f>
        <v>2679.4971999999998</v>
      </c>
      <c r="R13" s="23"/>
    </row>
    <row r="14" spans="1:19" x14ac:dyDescent="0.25">
      <c r="A14" s="22"/>
      <c r="B14" s="22"/>
      <c r="C14" s="10" t="s">
        <v>7</v>
      </c>
      <c r="D14" s="7">
        <v>1036</v>
      </c>
      <c r="E14" s="7">
        <v>204</v>
      </c>
      <c r="F14" s="7">
        <f>ROUNDUP(D14*2.14%,1)</f>
        <v>22.200000000000003</v>
      </c>
      <c r="G14" s="7">
        <v>1326</v>
      </c>
      <c r="H14" s="7">
        <v>133</v>
      </c>
      <c r="I14" s="7">
        <f>ROUNDUP(G14*2.14%,1)</f>
        <v>28.400000000000002</v>
      </c>
      <c r="J14" s="7">
        <v>1018</v>
      </c>
      <c r="K14" s="7">
        <v>102</v>
      </c>
      <c r="L14" s="7">
        <f>ROUNDUP(J14*2.14%,1)</f>
        <v>21.8</v>
      </c>
      <c r="M14" s="7">
        <v>1061</v>
      </c>
      <c r="N14" s="7">
        <v>106</v>
      </c>
      <c r="O14" s="7">
        <f>ROUNDUP(M14*2.14%,1)</f>
        <v>22.8</v>
      </c>
      <c r="P14" s="10" t="s">
        <v>7</v>
      </c>
      <c r="Q14" s="7">
        <f>2346*1.1182</f>
        <v>2623.2972</v>
      </c>
      <c r="R14" s="4">
        <f>ROUNDUP(Q14*2.14%,1)</f>
        <v>56.2</v>
      </c>
    </row>
    <row r="15" spans="1:19" ht="31.5" x14ac:dyDescent="0.25">
      <c r="A15" s="22" t="s">
        <v>23</v>
      </c>
      <c r="B15" s="22"/>
      <c r="C15" s="10" t="s">
        <v>55</v>
      </c>
      <c r="D15" s="23">
        <f>SUM(D16:F16)</f>
        <v>1262.2</v>
      </c>
      <c r="E15" s="23"/>
      <c r="F15" s="23"/>
      <c r="G15" s="23">
        <f>SUM(G16:I16)</f>
        <v>1487.4</v>
      </c>
      <c r="H15" s="23"/>
      <c r="I15" s="23"/>
      <c r="J15" s="23">
        <f>SUM(J16:L16)</f>
        <v>1141.8</v>
      </c>
      <c r="K15" s="23"/>
      <c r="L15" s="23"/>
      <c r="M15" s="23">
        <f>SUM(M16:O16)</f>
        <v>1189.8</v>
      </c>
      <c r="N15" s="23"/>
      <c r="O15" s="23"/>
      <c r="P15" s="10" t="s">
        <v>31</v>
      </c>
      <c r="Q15" s="23">
        <f>Q16+R16</f>
        <v>5039.0984000000008</v>
      </c>
      <c r="R15" s="23"/>
    </row>
    <row r="16" spans="1:19" x14ac:dyDescent="0.25">
      <c r="A16" s="22"/>
      <c r="B16" s="22"/>
      <c r="C16" s="10" t="s">
        <v>7</v>
      </c>
      <c r="D16" s="7">
        <v>1036</v>
      </c>
      <c r="E16" s="7">
        <v>204</v>
      </c>
      <c r="F16" s="7">
        <f>ROUNDUP(D16*2.14%,1)</f>
        <v>22.200000000000003</v>
      </c>
      <c r="G16" s="7">
        <v>1326</v>
      </c>
      <c r="H16" s="7">
        <v>133</v>
      </c>
      <c r="I16" s="7">
        <f>ROUNDUP(G16*2.14%,1)</f>
        <v>28.400000000000002</v>
      </c>
      <c r="J16" s="7">
        <v>1018</v>
      </c>
      <c r="K16" s="7">
        <v>102</v>
      </c>
      <c r="L16" s="7">
        <f>ROUNDUP(J16*2.14%,1)</f>
        <v>21.8</v>
      </c>
      <c r="M16" s="7">
        <v>1061</v>
      </c>
      <c r="N16" s="7">
        <v>106</v>
      </c>
      <c r="O16" s="7">
        <f>ROUNDUP(M16*2.14%,1)</f>
        <v>22.8</v>
      </c>
      <c r="P16" s="10" t="s">
        <v>7</v>
      </c>
      <c r="Q16" s="7">
        <f>4412*1.1182</f>
        <v>4933.4984000000004</v>
      </c>
      <c r="R16" s="4">
        <f>ROUNDUP(Q16*2.14%,1)</f>
        <v>105.6</v>
      </c>
    </row>
    <row r="17" spans="1:24" ht="31.5" x14ac:dyDescent="0.25">
      <c r="A17" s="22" t="s">
        <v>25</v>
      </c>
      <c r="B17" s="22"/>
      <c r="C17" s="10" t="s">
        <v>55</v>
      </c>
      <c r="D17" s="23">
        <f>SUM(D18:F18)</f>
        <v>1262.2</v>
      </c>
      <c r="E17" s="23"/>
      <c r="F17" s="23"/>
      <c r="G17" s="23">
        <f>SUM(G18:I18)</f>
        <v>1487.4</v>
      </c>
      <c r="H17" s="23"/>
      <c r="I17" s="23"/>
      <c r="J17" s="23">
        <f>SUM(J18:L18)</f>
        <v>1141.8</v>
      </c>
      <c r="K17" s="23"/>
      <c r="L17" s="23"/>
      <c r="M17" s="23">
        <f>SUM(M18:O18)</f>
        <v>1189.8</v>
      </c>
      <c r="N17" s="23"/>
      <c r="O17" s="23"/>
      <c r="P17" s="10" t="s">
        <v>31</v>
      </c>
      <c r="Q17" s="23">
        <f>Q18+R18</f>
        <v>15498.774000000001</v>
      </c>
      <c r="R17" s="23"/>
    </row>
    <row r="18" spans="1:24" x14ac:dyDescent="0.25">
      <c r="A18" s="22"/>
      <c r="B18" s="22"/>
      <c r="C18" s="10" t="s">
        <v>7</v>
      </c>
      <c r="D18" s="7">
        <v>1036</v>
      </c>
      <c r="E18" s="7">
        <v>204</v>
      </c>
      <c r="F18" s="7">
        <f>ROUNDUP(D18*2.14%,1)</f>
        <v>22.200000000000003</v>
      </c>
      <c r="G18" s="7">
        <v>1326</v>
      </c>
      <c r="H18" s="7">
        <v>133</v>
      </c>
      <c r="I18" s="7">
        <f>ROUNDUP(G18*2.14%,1)</f>
        <v>28.400000000000002</v>
      </c>
      <c r="J18" s="7">
        <v>1018</v>
      </c>
      <c r="K18" s="7">
        <v>102</v>
      </c>
      <c r="L18" s="7">
        <f>ROUNDUP(J18*2.14%,1)</f>
        <v>21.8</v>
      </c>
      <c r="M18" s="7">
        <v>1061</v>
      </c>
      <c r="N18" s="7">
        <v>106</v>
      </c>
      <c r="O18" s="7">
        <f>ROUNDUP(M18*2.14%,1)</f>
        <v>22.8</v>
      </c>
      <c r="P18" s="10" t="s">
        <v>7</v>
      </c>
      <c r="Q18" s="7">
        <f>13570*1.1182</f>
        <v>15173.974000000002</v>
      </c>
      <c r="R18" s="4">
        <f>ROUNDUP(Q18*2.14%,1)</f>
        <v>324.8</v>
      </c>
    </row>
    <row r="19" spans="1:24" ht="31.5" x14ac:dyDescent="0.25">
      <c r="A19" s="21" t="s">
        <v>33</v>
      </c>
      <c r="B19" s="22" t="s">
        <v>26</v>
      </c>
      <c r="C19" s="10" t="s">
        <v>55</v>
      </c>
      <c r="D19" s="23">
        <f>SUM(D20:F20)</f>
        <v>1649.1</v>
      </c>
      <c r="E19" s="23"/>
      <c r="F19" s="23"/>
      <c r="G19" s="23">
        <f>SUM(G20:I20)</f>
        <v>1166.3</v>
      </c>
      <c r="H19" s="23"/>
      <c r="I19" s="23"/>
      <c r="J19" s="23">
        <f>SUM(J20:L20)</f>
        <v>1155.4000000000001</v>
      </c>
      <c r="K19" s="23"/>
      <c r="L19" s="23"/>
      <c r="M19" s="23">
        <f>SUM(M20:O20)</f>
        <v>1155.5</v>
      </c>
      <c r="N19" s="23"/>
      <c r="O19" s="23"/>
      <c r="P19" s="10" t="s">
        <v>20</v>
      </c>
      <c r="Q19" s="23">
        <f>Q20+R20</f>
        <v>7851.006800000001</v>
      </c>
      <c r="R19" s="23"/>
    </row>
    <row r="20" spans="1:24" x14ac:dyDescent="0.25">
      <c r="A20" s="21"/>
      <c r="B20" s="22"/>
      <c r="C20" s="10" t="s">
        <v>7</v>
      </c>
      <c r="D20" s="8">
        <v>1450</v>
      </c>
      <c r="E20" s="8">
        <v>168</v>
      </c>
      <c r="F20" s="8">
        <f>ROUNDUP(D20*2.14%,1)</f>
        <v>31.1</v>
      </c>
      <c r="G20" s="8">
        <v>1040</v>
      </c>
      <c r="H20" s="8">
        <v>104</v>
      </c>
      <c r="I20" s="8">
        <f>ROUNDUP(G20*2.14%,1)</f>
        <v>22.3</v>
      </c>
      <c r="J20" s="8">
        <v>1090</v>
      </c>
      <c r="K20" s="8">
        <v>42</v>
      </c>
      <c r="L20" s="8">
        <f>ROUNDUP(J20*2.14%,1)</f>
        <v>23.400000000000002</v>
      </c>
      <c r="M20" s="8">
        <v>1094</v>
      </c>
      <c r="N20" s="8">
        <v>38</v>
      </c>
      <c r="O20" s="8">
        <f>ROUNDUP(M20*2.14%,1)</f>
        <v>23.5</v>
      </c>
      <c r="P20" s="10" t="s">
        <v>7</v>
      </c>
      <c r="Q20" s="4">
        <f>6874*1.1182</f>
        <v>7686.506800000001</v>
      </c>
      <c r="R20" s="4">
        <f>ROUNDUP(Q20*2.14%,1)</f>
        <v>164.5</v>
      </c>
    </row>
    <row r="21" spans="1:24" ht="31.5" x14ac:dyDescent="0.25">
      <c r="A21" s="21"/>
      <c r="B21" s="22" t="s">
        <v>27</v>
      </c>
      <c r="C21" s="10" t="s">
        <v>55</v>
      </c>
      <c r="D21" s="20">
        <f>SUM(D22:F22)</f>
        <v>3410.1</v>
      </c>
      <c r="E21" s="20"/>
      <c r="F21" s="20"/>
      <c r="G21" s="20">
        <f>SUM(G22:I22)</f>
        <v>3410.1</v>
      </c>
      <c r="H21" s="20"/>
      <c r="I21" s="20"/>
      <c r="J21" s="20">
        <f>SUM(J22:L22)</f>
        <v>2215.3000000000002</v>
      </c>
      <c r="K21" s="20"/>
      <c r="L21" s="20"/>
      <c r="M21" s="20">
        <f>SUM(M22:O22)</f>
        <v>1241.9000000000001</v>
      </c>
      <c r="N21" s="20"/>
      <c r="O21" s="20"/>
      <c r="P21" s="10" t="s">
        <v>20</v>
      </c>
      <c r="Q21" s="23">
        <f>Q22+R22</f>
        <v>5731.2276000000011</v>
      </c>
      <c r="R21" s="23"/>
    </row>
    <row r="22" spans="1:24" x14ac:dyDescent="0.25">
      <c r="A22" s="21"/>
      <c r="B22" s="22"/>
      <c r="C22" s="10" t="s">
        <v>7</v>
      </c>
      <c r="D22" s="8">
        <v>3041</v>
      </c>
      <c r="E22" s="8">
        <v>304</v>
      </c>
      <c r="F22" s="8">
        <f>ROUNDUP(D22*2.14%,1)</f>
        <v>65.099999999999994</v>
      </c>
      <c r="G22" s="8">
        <v>3041</v>
      </c>
      <c r="H22" s="8">
        <v>304</v>
      </c>
      <c r="I22" s="8">
        <f>ROUNDUP(G22*2.14%,1)</f>
        <v>65.099999999999994</v>
      </c>
      <c r="J22" s="8">
        <v>2068</v>
      </c>
      <c r="K22" s="8">
        <v>103</v>
      </c>
      <c r="L22" s="8">
        <f>ROUNDUP(J22*2.14%,1)</f>
        <v>44.300000000000004</v>
      </c>
      <c r="M22" s="8">
        <v>1115</v>
      </c>
      <c r="N22" s="8">
        <v>103</v>
      </c>
      <c r="O22" s="8">
        <f>ROUNDUP(M22*2.14%,1)</f>
        <v>23.900000000000002</v>
      </c>
      <c r="P22" s="10" t="s">
        <v>7</v>
      </c>
      <c r="Q22" s="4">
        <f>5018*1.1182</f>
        <v>5611.1276000000007</v>
      </c>
      <c r="R22" s="4">
        <f>ROUNDUP(Q22*2.14%,1)</f>
        <v>120.1</v>
      </c>
    </row>
    <row r="23" spans="1:24" ht="29.25" customHeight="1" x14ac:dyDescent="0.25">
      <c r="A23" s="36" t="s">
        <v>65</v>
      </c>
      <c r="B23" s="37" t="s">
        <v>63</v>
      </c>
      <c r="C23" s="6" t="s">
        <v>11</v>
      </c>
      <c r="D23" s="20"/>
      <c r="E23" s="20"/>
      <c r="F23" s="20"/>
      <c r="G23" s="20"/>
      <c r="H23" s="20"/>
      <c r="I23" s="20"/>
      <c r="J23" s="24">
        <f>J24+100000+L24</f>
        <v>2816924</v>
      </c>
      <c r="K23" s="24"/>
      <c r="L23" s="24"/>
      <c r="M23" s="24">
        <f>M24+100000+O24</f>
        <v>2816924</v>
      </c>
      <c r="N23" s="24"/>
      <c r="O23" s="24"/>
      <c r="P23" s="6" t="s">
        <v>14</v>
      </c>
      <c r="Q23" s="24">
        <f>Q24+R24</f>
        <v>3789394</v>
      </c>
      <c r="R23" s="24"/>
    </row>
    <row r="24" spans="1:24" ht="15.75" customHeight="1" x14ac:dyDescent="0.25">
      <c r="A24" s="36"/>
      <c r="B24" s="37"/>
      <c r="C24" s="6" t="s">
        <v>17</v>
      </c>
      <c r="D24" s="20"/>
      <c r="E24" s="20"/>
      <c r="F24" s="20"/>
      <c r="G24" s="20"/>
      <c r="H24" s="20"/>
      <c r="I24" s="20"/>
      <c r="J24" s="9">
        <f>(2700000-40000)</f>
        <v>2660000</v>
      </c>
      <c r="K24" s="8" t="s">
        <v>8</v>
      </c>
      <c r="L24" s="8">
        <f>ROUNDUP(J24*2.14%,1)</f>
        <v>56924</v>
      </c>
      <c r="M24" s="9">
        <f>(2700000-40000)</f>
        <v>2660000</v>
      </c>
      <c r="N24" s="8" t="s">
        <v>8</v>
      </c>
      <c r="O24" s="8">
        <f>ROUNDUP(M24*2.14%,1)</f>
        <v>56924</v>
      </c>
      <c r="P24" s="6" t="s">
        <v>7</v>
      </c>
      <c r="Q24" s="9">
        <f>(3750000-40000)</f>
        <v>3710000</v>
      </c>
      <c r="R24" s="38">
        <f>ROUNDUP(Q24*2.14%,1)</f>
        <v>79394</v>
      </c>
    </row>
    <row r="25" spans="1:24" ht="30" customHeight="1" x14ac:dyDescent="0.25">
      <c r="A25" s="36"/>
      <c r="B25" s="37" t="s">
        <v>64</v>
      </c>
      <c r="C25" s="6" t="s">
        <v>11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6" t="s">
        <v>21</v>
      </c>
      <c r="Q25" s="24"/>
      <c r="R25" s="24"/>
    </row>
    <row r="26" spans="1:24" x14ac:dyDescent="0.25">
      <c r="A26" s="36"/>
      <c r="B26" s="37"/>
      <c r="C26" s="6" t="s">
        <v>7</v>
      </c>
      <c r="D26" s="20"/>
      <c r="E26" s="20"/>
      <c r="F26" s="20"/>
      <c r="G26" s="20"/>
      <c r="H26" s="20"/>
      <c r="I26" s="20"/>
      <c r="J26" s="20"/>
      <c r="K26" s="20"/>
      <c r="L26" s="20"/>
      <c r="M26" s="8">
        <v>150000</v>
      </c>
      <c r="N26" s="8"/>
      <c r="O26" s="8">
        <f>ROUNDUP(M26*2.14%,1)</f>
        <v>3210</v>
      </c>
      <c r="P26" s="6" t="s">
        <v>7</v>
      </c>
      <c r="Q26" s="9">
        <v>150000</v>
      </c>
      <c r="R26" s="38">
        <f>ROUNDUP(Q26*2.14%,1)</f>
        <v>3210</v>
      </c>
    </row>
    <row r="27" spans="1:24" s="43" customFormat="1" ht="35.25" customHeight="1" x14ac:dyDescent="0.25">
      <c r="A27" s="37" t="s">
        <v>51</v>
      </c>
      <c r="B27" s="37"/>
      <c r="C27" s="6" t="s">
        <v>55</v>
      </c>
      <c r="D27" s="39">
        <f>SUM(D28:F28)</f>
        <v>712.6</v>
      </c>
      <c r="E27" s="40"/>
      <c r="F27" s="41"/>
      <c r="G27" s="39">
        <f>SUM(G28:I28)</f>
        <v>719.3</v>
      </c>
      <c r="H27" s="40"/>
      <c r="I27" s="41"/>
      <c r="J27" s="39">
        <f>SUM(J28:L28)</f>
        <v>545</v>
      </c>
      <c r="K27" s="40"/>
      <c r="L27" s="41"/>
      <c r="M27" s="39">
        <f>SUM(M28:O28)</f>
        <v>505.2</v>
      </c>
      <c r="N27" s="40"/>
      <c r="O27" s="41"/>
      <c r="P27" s="6" t="s">
        <v>58</v>
      </c>
      <c r="Q27" s="20">
        <f>Q28+R28</f>
        <v>5199.6055000000006</v>
      </c>
      <c r="R27" s="20"/>
      <c r="S27" s="42"/>
    </row>
    <row r="28" spans="1:24" s="43" customFormat="1" x14ac:dyDescent="0.25">
      <c r="A28" s="37"/>
      <c r="B28" s="37"/>
      <c r="C28" s="6" t="s">
        <v>7</v>
      </c>
      <c r="D28" s="9">
        <f>ROUNDUP(1271/2,1)</f>
        <v>635.5</v>
      </c>
      <c r="E28" s="9">
        <f>ROUNDUP(127/2,1)</f>
        <v>63.5</v>
      </c>
      <c r="F28" s="9">
        <f>ROUNDUP(D28*2.14%,1)</f>
        <v>13.6</v>
      </c>
      <c r="G28" s="9">
        <f>ROUNDUP(1283/2,1)</f>
        <v>641.5</v>
      </c>
      <c r="H28" s="9">
        <f>ROUNDUP(128/2,1)</f>
        <v>64</v>
      </c>
      <c r="I28" s="9">
        <f>ROUNDUP(G28*2.14%,1)</f>
        <v>13.799999999999999</v>
      </c>
      <c r="J28" s="9">
        <f>ROUNDUP(972/2,1)</f>
        <v>486</v>
      </c>
      <c r="K28" s="9">
        <f>ROUNDUP(97/2,1)</f>
        <v>48.5</v>
      </c>
      <c r="L28" s="9">
        <f>ROUNDUP(J28*2.14%,1)</f>
        <v>10.5</v>
      </c>
      <c r="M28" s="9">
        <f>ROUNDUP(901/2,1)</f>
        <v>450.5</v>
      </c>
      <c r="N28" s="9">
        <f>ROUNDUP(90/2,1)</f>
        <v>45</v>
      </c>
      <c r="O28" s="9">
        <f>ROUNDUP(M28*2.14%,1)</f>
        <v>9.6999999999999993</v>
      </c>
      <c r="P28" s="6" t="s">
        <v>7</v>
      </c>
      <c r="Q28" s="8">
        <f>ROUNDUP(9105/2,1)*1.1182</f>
        <v>5090.6055000000006</v>
      </c>
      <c r="R28" s="4">
        <f>ROUNDUP(Q28*2.14%,1)</f>
        <v>109</v>
      </c>
      <c r="S28" s="42"/>
    </row>
    <row r="29" spans="1:24" s="43" customFormat="1" ht="35.25" customHeight="1" x14ac:dyDescent="0.25">
      <c r="A29" s="37" t="s">
        <v>52</v>
      </c>
      <c r="B29" s="37"/>
      <c r="C29" s="6" t="s">
        <v>55</v>
      </c>
      <c r="D29" s="39">
        <f>SUM(D30:F30)</f>
        <v>712.6</v>
      </c>
      <c r="E29" s="40"/>
      <c r="F29" s="41"/>
      <c r="G29" s="39">
        <f>SUM(G30:I30)</f>
        <v>719.3</v>
      </c>
      <c r="H29" s="40"/>
      <c r="I29" s="41"/>
      <c r="J29" s="39">
        <f>SUM(J30:L30)</f>
        <v>545</v>
      </c>
      <c r="K29" s="40"/>
      <c r="L29" s="41"/>
      <c r="M29" s="39">
        <f>SUM(M30:O30)</f>
        <v>505.2</v>
      </c>
      <c r="N29" s="40"/>
      <c r="O29" s="41"/>
      <c r="P29" s="6" t="s">
        <v>57</v>
      </c>
      <c r="Q29" s="20">
        <f>Q30+R30</f>
        <v>5199.6055000000006</v>
      </c>
      <c r="R29" s="20"/>
      <c r="S29" s="42"/>
    </row>
    <row r="30" spans="1:24" s="43" customFormat="1" x14ac:dyDescent="0.25">
      <c r="A30" s="37"/>
      <c r="B30" s="37"/>
      <c r="C30" s="6" t="s">
        <v>7</v>
      </c>
      <c r="D30" s="9">
        <f>ROUNDUP(1271/2,1)</f>
        <v>635.5</v>
      </c>
      <c r="E30" s="9">
        <f>ROUNDUP(127/2,1)</f>
        <v>63.5</v>
      </c>
      <c r="F30" s="9">
        <f>ROUNDUP(D30*2.14%,1)</f>
        <v>13.6</v>
      </c>
      <c r="G30" s="9">
        <f>ROUNDUP(1283/2,1)</f>
        <v>641.5</v>
      </c>
      <c r="H30" s="9">
        <f>ROUNDUP(128/2,1)</f>
        <v>64</v>
      </c>
      <c r="I30" s="9">
        <f>ROUNDUP(G30*2.14%,1)</f>
        <v>13.799999999999999</v>
      </c>
      <c r="J30" s="9">
        <f>ROUNDUP(972/2,1)</f>
        <v>486</v>
      </c>
      <c r="K30" s="9">
        <f>ROUNDUP(97/2,1)</f>
        <v>48.5</v>
      </c>
      <c r="L30" s="9">
        <f>ROUNDUP(J30*2.14%,1)</f>
        <v>10.5</v>
      </c>
      <c r="M30" s="9">
        <f>ROUNDUP(901/2,1)</f>
        <v>450.5</v>
      </c>
      <c r="N30" s="9">
        <f>ROUNDUP(90/2,1)</f>
        <v>45</v>
      </c>
      <c r="O30" s="9">
        <f>ROUNDUP(M30*2.14%,1)</f>
        <v>9.6999999999999993</v>
      </c>
      <c r="P30" s="6" t="s">
        <v>7</v>
      </c>
      <c r="Q30" s="8">
        <f>ROUNDUP(9105/2,1)*1.1182</f>
        <v>5090.6055000000006</v>
      </c>
      <c r="R30" s="4">
        <f>ROUNDUP(Q30*2.14%,1)</f>
        <v>109</v>
      </c>
      <c r="S30" s="42"/>
    </row>
    <row r="31" spans="1:24" ht="52.5" customHeight="1" x14ac:dyDescent="0.25">
      <c r="A31" s="22" t="s">
        <v>15</v>
      </c>
      <c r="B31" s="22" t="s">
        <v>28</v>
      </c>
      <c r="C31" s="10" t="s">
        <v>55</v>
      </c>
      <c r="D31" s="44">
        <f>SUM(D32:F32)</f>
        <v>4429.6000000000004</v>
      </c>
      <c r="E31" s="45"/>
      <c r="F31" s="46"/>
      <c r="G31" s="23">
        <f>SUM(G32:I32)</f>
        <v>4385.8999999999996</v>
      </c>
      <c r="H31" s="23"/>
      <c r="I31" s="23"/>
      <c r="J31" s="23"/>
      <c r="K31" s="23"/>
      <c r="L31" s="23"/>
      <c r="M31" s="23"/>
      <c r="N31" s="23"/>
      <c r="O31" s="23"/>
      <c r="P31" s="47" t="s">
        <v>19</v>
      </c>
      <c r="Q31" s="23">
        <f>Q32+R32</f>
        <v>11287.76</v>
      </c>
      <c r="R31" s="23"/>
      <c r="X31" s="25">
        <f>4506.9*100/11287.8</f>
        <v>39.927178015202252</v>
      </c>
    </row>
    <row r="32" spans="1:24" x14ac:dyDescent="0.25">
      <c r="A32" s="22"/>
      <c r="B32" s="22"/>
      <c r="C32" s="10" t="s">
        <v>7</v>
      </c>
      <c r="D32" s="7">
        <v>3950</v>
      </c>
      <c r="E32" s="7">
        <v>395</v>
      </c>
      <c r="F32" s="7">
        <f>ROUNDUP(D32*2.14%,1)</f>
        <v>84.6</v>
      </c>
      <c r="G32" s="8">
        <v>4014</v>
      </c>
      <c r="H32" s="7">
        <v>286</v>
      </c>
      <c r="I32" s="7">
        <f>ROUNDUP(G32*2.14%,1)</f>
        <v>85.899999999999991</v>
      </c>
      <c r="J32" s="23"/>
      <c r="K32" s="23"/>
      <c r="L32" s="23"/>
      <c r="M32" s="23"/>
      <c r="N32" s="23"/>
      <c r="O32" s="23"/>
      <c r="P32" s="47" t="s">
        <v>7</v>
      </c>
      <c r="Q32" s="7">
        <f>11051.26</f>
        <v>11051.26</v>
      </c>
      <c r="R32" s="4">
        <f>ROUNDUP(Q32*2.14%,1)</f>
        <v>236.5</v>
      </c>
      <c r="X32" s="25">
        <f>100-X31</f>
        <v>60.072821984797748</v>
      </c>
    </row>
    <row r="33" spans="1:19" ht="42.75" customHeight="1" x14ac:dyDescent="0.25">
      <c r="A33" s="22"/>
      <c r="B33" s="22" t="s">
        <v>29</v>
      </c>
      <c r="C33" s="10" t="s">
        <v>55</v>
      </c>
      <c r="D33" s="44">
        <f>SUM(D34:F34)</f>
        <v>4333.6000000000004</v>
      </c>
      <c r="E33" s="45"/>
      <c r="F33" s="46"/>
      <c r="G33" s="23">
        <f>SUM(G34:I34)</f>
        <v>4333.6000000000004</v>
      </c>
      <c r="H33" s="23"/>
      <c r="I33" s="23"/>
      <c r="J33" s="23">
        <f>SUM(J34:L34)</f>
        <v>1921.5</v>
      </c>
      <c r="K33" s="23"/>
      <c r="L33" s="23"/>
      <c r="M33" s="23">
        <f>SUM(M34:O34)</f>
        <v>1815.3</v>
      </c>
      <c r="N33" s="23"/>
      <c r="O33" s="23"/>
      <c r="P33" s="47" t="s">
        <v>19</v>
      </c>
      <c r="Q33" s="23">
        <f>Q34+R34</f>
        <v>11287.76</v>
      </c>
      <c r="R33" s="23"/>
    </row>
    <row r="34" spans="1:19" x14ac:dyDescent="0.25">
      <c r="A34" s="22"/>
      <c r="B34" s="22"/>
      <c r="C34" s="10" t="s">
        <v>7</v>
      </c>
      <c r="D34" s="7">
        <v>4044</v>
      </c>
      <c r="E34" s="7">
        <v>203</v>
      </c>
      <c r="F34" s="7">
        <f>ROUNDUP(D34*2.14%,1)</f>
        <v>86.6</v>
      </c>
      <c r="G34" s="7">
        <v>4044</v>
      </c>
      <c r="H34" s="7">
        <v>203</v>
      </c>
      <c r="I34" s="7">
        <f>ROUNDUP(G34*2.14%,1)</f>
        <v>86.6</v>
      </c>
      <c r="J34" s="8">
        <v>1798</v>
      </c>
      <c r="K34" s="8">
        <v>85</v>
      </c>
      <c r="L34" s="8">
        <f>ROUNDUP(J34*2.14%,1)</f>
        <v>38.5</v>
      </c>
      <c r="M34" s="8">
        <v>1740</v>
      </c>
      <c r="N34" s="8">
        <v>38</v>
      </c>
      <c r="O34" s="8">
        <f>ROUNDUP(M34*2.14%,1)</f>
        <v>37.300000000000004</v>
      </c>
      <c r="P34" s="10" t="s">
        <v>7</v>
      </c>
      <c r="Q34" s="8">
        <f>11051.26</f>
        <v>11051.26</v>
      </c>
      <c r="R34" s="4">
        <f>ROUNDUP(Q34*2.14%,1)</f>
        <v>236.5</v>
      </c>
    </row>
    <row r="35" spans="1:19" ht="42.75" customHeight="1" x14ac:dyDescent="0.25">
      <c r="A35" s="22"/>
      <c r="B35" s="22" t="s">
        <v>30</v>
      </c>
      <c r="C35" s="10" t="s">
        <v>55</v>
      </c>
      <c r="D35" s="44"/>
      <c r="E35" s="45"/>
      <c r="F35" s="46"/>
      <c r="G35" s="23">
        <f>SUM(G36:I36)</f>
        <v>4151.3999999999996</v>
      </c>
      <c r="H35" s="23"/>
      <c r="I35" s="23"/>
      <c r="J35" s="20">
        <f>SUM(J36:L36)</f>
        <v>1787.7</v>
      </c>
      <c r="K35" s="20"/>
      <c r="L35" s="20"/>
      <c r="M35" s="20">
        <f>SUM(M36:O36)</f>
        <v>1190.2</v>
      </c>
      <c r="N35" s="20"/>
      <c r="O35" s="20"/>
      <c r="P35" s="10" t="s">
        <v>19</v>
      </c>
      <c r="Q35" s="20">
        <f>Q36+R36</f>
        <v>11287.76</v>
      </c>
      <c r="R35" s="20"/>
    </row>
    <row r="36" spans="1:19" x14ac:dyDescent="0.25">
      <c r="A36" s="22"/>
      <c r="B36" s="22"/>
      <c r="C36" s="10" t="s">
        <v>7</v>
      </c>
      <c r="D36" s="44"/>
      <c r="E36" s="45"/>
      <c r="F36" s="46"/>
      <c r="G36" s="7">
        <v>3943</v>
      </c>
      <c r="H36" s="7">
        <v>124</v>
      </c>
      <c r="I36" s="7">
        <f>ROUNDUP(G36*2.14%,1)</f>
        <v>84.399999999999991</v>
      </c>
      <c r="J36" s="8">
        <v>1667</v>
      </c>
      <c r="K36" s="8">
        <v>85</v>
      </c>
      <c r="L36" s="8">
        <f>ROUNDUP(J36*2.14%,1)</f>
        <v>35.700000000000003</v>
      </c>
      <c r="M36" s="8">
        <v>1128</v>
      </c>
      <c r="N36" s="8">
        <v>38</v>
      </c>
      <c r="O36" s="8">
        <f>ROUNDUP(M36*2.14%,1)</f>
        <v>24.200000000000003</v>
      </c>
      <c r="P36" s="10" t="s">
        <v>7</v>
      </c>
      <c r="Q36" s="8">
        <f>11051.26</f>
        <v>11051.26</v>
      </c>
      <c r="R36" s="4">
        <f>ROUNDUP(Q36*2.14%,1)</f>
        <v>236.5</v>
      </c>
    </row>
    <row r="37" spans="1:19" ht="41.25" customHeight="1" x14ac:dyDescent="0.25">
      <c r="A37" s="13" t="s">
        <v>37</v>
      </c>
      <c r="B37" s="13"/>
      <c r="C37" s="10" t="s">
        <v>55</v>
      </c>
      <c r="D37" s="23">
        <f>SUM(D38:F38)</f>
        <v>7503.8</v>
      </c>
      <c r="E37" s="23"/>
      <c r="F37" s="23"/>
      <c r="G37" s="23">
        <f>SUM(G38:I38)</f>
        <v>6990.7</v>
      </c>
      <c r="H37" s="23"/>
      <c r="I37" s="23"/>
      <c r="J37" s="23"/>
      <c r="K37" s="23"/>
      <c r="L37" s="23"/>
      <c r="M37" s="44"/>
      <c r="N37" s="45"/>
      <c r="O37" s="46"/>
      <c r="P37" s="10"/>
      <c r="Q37" s="14"/>
      <c r="R37" s="15"/>
      <c r="S37" s="35">
        <f>AVERAGE(D37:O37)</f>
        <v>7247.25</v>
      </c>
    </row>
    <row r="38" spans="1:19" ht="24.75" customHeight="1" x14ac:dyDescent="0.25">
      <c r="A38" s="13"/>
      <c r="B38" s="13"/>
      <c r="C38" s="10" t="s">
        <v>7</v>
      </c>
      <c r="D38" s="7">
        <f>D20+D28+D30+D32</f>
        <v>6671</v>
      </c>
      <c r="E38" s="7">
        <f>E20+E28+E30+E32</f>
        <v>690</v>
      </c>
      <c r="F38" s="7">
        <f>ROUNDUP(D38*2.14%,1)</f>
        <v>142.79999999999998</v>
      </c>
      <c r="G38" s="7">
        <f>G20+G28+G30+G32</f>
        <v>6337</v>
      </c>
      <c r="H38" s="7">
        <f>H20+H28+H30+H32</f>
        <v>518</v>
      </c>
      <c r="I38" s="7">
        <f>ROUNDUP(G38*2.14%,1)</f>
        <v>135.69999999999999</v>
      </c>
      <c r="J38" s="44"/>
      <c r="K38" s="45"/>
      <c r="L38" s="46"/>
      <c r="M38" s="44"/>
      <c r="N38" s="45"/>
      <c r="O38" s="46"/>
      <c r="P38" s="10"/>
      <c r="Q38" s="3"/>
      <c r="R38" s="1"/>
    </row>
    <row r="39" spans="1:19" ht="41.25" customHeight="1" x14ac:dyDescent="0.25">
      <c r="A39" s="13" t="s">
        <v>38</v>
      </c>
      <c r="B39" s="13"/>
      <c r="C39" s="10" t="s">
        <v>55</v>
      </c>
      <c r="D39" s="23">
        <f>SUM(D40:F40)</f>
        <v>7407.8</v>
      </c>
      <c r="E39" s="23"/>
      <c r="F39" s="23"/>
      <c r="G39" s="23">
        <f>SUM(G40:I40)</f>
        <v>6938.3</v>
      </c>
      <c r="H39" s="23"/>
      <c r="I39" s="23"/>
      <c r="J39" s="23">
        <f>SUM(J40:L40)</f>
        <v>4166.7</v>
      </c>
      <c r="K39" s="23"/>
      <c r="L39" s="23"/>
      <c r="M39" s="23">
        <f>SUM(M40:O40)</f>
        <v>3981</v>
      </c>
      <c r="N39" s="23"/>
      <c r="O39" s="23"/>
      <c r="P39" s="10"/>
      <c r="Q39" s="14"/>
      <c r="R39" s="15"/>
      <c r="S39" s="35">
        <f t="shared" ref="S39" si="0">AVERAGE(D39:O39)</f>
        <v>5623.45</v>
      </c>
    </row>
    <row r="40" spans="1:19" ht="24.75" customHeight="1" x14ac:dyDescent="0.25">
      <c r="A40" s="13"/>
      <c r="B40" s="13"/>
      <c r="C40" s="10" t="s">
        <v>7</v>
      </c>
      <c r="D40" s="7">
        <f>D20+D28+D30+D34</f>
        <v>6765</v>
      </c>
      <c r="E40" s="7">
        <f>E20+E28+E30+E34</f>
        <v>498</v>
      </c>
      <c r="F40" s="7">
        <f>ROUNDUP(D40*2.14%,1)</f>
        <v>144.79999999999998</v>
      </c>
      <c r="G40" s="7">
        <f>G20+G28+G30+G34</f>
        <v>6367</v>
      </c>
      <c r="H40" s="7">
        <f>H20+H28+H30+H34</f>
        <v>435</v>
      </c>
      <c r="I40" s="7">
        <f>ROUNDUP(G40*2.14%,1)</f>
        <v>136.29999999999998</v>
      </c>
      <c r="J40" s="7">
        <f>J20+J28+J30+J34</f>
        <v>3860</v>
      </c>
      <c r="K40" s="7">
        <f>K20+K28+K30+K34</f>
        <v>224</v>
      </c>
      <c r="L40" s="7">
        <f>ROUNDUP(J40*2.14%,1)</f>
        <v>82.699999999999989</v>
      </c>
      <c r="M40" s="7">
        <f>M20+M28+M30+M34</f>
        <v>3735</v>
      </c>
      <c r="N40" s="7">
        <f>N20+N28+N30+N34</f>
        <v>166</v>
      </c>
      <c r="O40" s="7">
        <f>ROUNDUP(M40*2.14%,1)</f>
        <v>80</v>
      </c>
      <c r="P40" s="10"/>
      <c r="Q40" s="10"/>
      <c r="R40" s="10"/>
    </row>
    <row r="41" spans="1:19" ht="41.25" customHeight="1" x14ac:dyDescent="0.25">
      <c r="A41" s="13" t="s">
        <v>39</v>
      </c>
      <c r="B41" s="13"/>
      <c r="C41" s="10" t="s">
        <v>55</v>
      </c>
      <c r="D41" s="44"/>
      <c r="E41" s="45"/>
      <c r="F41" s="46"/>
      <c r="G41" s="23">
        <f>SUM(G42:I42)</f>
        <v>6756.1</v>
      </c>
      <c r="H41" s="23"/>
      <c r="I41" s="23"/>
      <c r="J41" s="23">
        <f>SUM(J42:L42)</f>
        <v>4032.9</v>
      </c>
      <c r="K41" s="23"/>
      <c r="L41" s="23"/>
      <c r="M41" s="23">
        <f>SUM(M42:O42)</f>
        <v>3355.9</v>
      </c>
      <c r="N41" s="23"/>
      <c r="O41" s="23"/>
      <c r="P41" s="10"/>
      <c r="Q41" s="14"/>
      <c r="R41" s="15"/>
      <c r="S41" s="35">
        <f t="shared" ref="S41" si="1">AVERAGE(D41:O41)</f>
        <v>4714.9666666666662</v>
      </c>
    </row>
    <row r="42" spans="1:19" ht="24.75" customHeight="1" x14ac:dyDescent="0.25">
      <c r="A42" s="13"/>
      <c r="B42" s="13"/>
      <c r="C42" s="10" t="s">
        <v>7</v>
      </c>
      <c r="D42" s="44"/>
      <c r="E42" s="45"/>
      <c r="F42" s="46"/>
      <c r="G42" s="7">
        <f>G20+G28+G30+G36</f>
        <v>6266</v>
      </c>
      <c r="H42" s="7">
        <f>H20+H28+H30+H36</f>
        <v>356</v>
      </c>
      <c r="I42" s="7">
        <f>ROUNDUP(G42*2.14%,1)</f>
        <v>134.1</v>
      </c>
      <c r="J42" s="7">
        <f>J20+J28+J30+J36</f>
        <v>3729</v>
      </c>
      <c r="K42" s="7">
        <f>K20+K28+K30+K36</f>
        <v>224</v>
      </c>
      <c r="L42" s="7">
        <f>ROUNDUP(J42*2.14%,1)</f>
        <v>79.899999999999991</v>
      </c>
      <c r="M42" s="7">
        <f>M20+M28+M30+M36</f>
        <v>3123</v>
      </c>
      <c r="N42" s="7">
        <f>N20+N28+N30+N36</f>
        <v>166</v>
      </c>
      <c r="O42" s="7">
        <f>ROUNDUP(M42*2.14%,1)</f>
        <v>66.899999999999991</v>
      </c>
      <c r="P42" s="10"/>
      <c r="Q42" s="10"/>
      <c r="R42" s="10"/>
    </row>
    <row r="43" spans="1:19" ht="41.25" customHeight="1" x14ac:dyDescent="0.25">
      <c r="A43" s="13" t="s">
        <v>40</v>
      </c>
      <c r="B43" s="13"/>
      <c r="C43" s="10" t="s">
        <v>55</v>
      </c>
      <c r="D43" s="23">
        <f>SUM(D44:F44)</f>
        <v>9264.9</v>
      </c>
      <c r="E43" s="23"/>
      <c r="F43" s="23"/>
      <c r="G43" s="23">
        <f>SUM(G44:I44)</f>
        <v>9234.5</v>
      </c>
      <c r="H43" s="23"/>
      <c r="I43" s="23"/>
      <c r="J43" s="23"/>
      <c r="K43" s="23"/>
      <c r="L43" s="23"/>
      <c r="M43" s="23"/>
      <c r="N43" s="23"/>
      <c r="O43" s="23"/>
      <c r="P43" s="10"/>
      <c r="Q43" s="14"/>
      <c r="R43" s="15"/>
      <c r="S43" s="35">
        <f t="shared" ref="S43" si="2">AVERAGE(D43:O43)</f>
        <v>9249.7000000000007</v>
      </c>
    </row>
    <row r="44" spans="1:19" ht="24.75" customHeight="1" x14ac:dyDescent="0.25">
      <c r="A44" s="13"/>
      <c r="B44" s="13"/>
      <c r="C44" s="10" t="s">
        <v>7</v>
      </c>
      <c r="D44" s="7">
        <f>D22+D28+D30+D32</f>
        <v>8262</v>
      </c>
      <c r="E44" s="7">
        <f>E22+E28+E30+E32</f>
        <v>826</v>
      </c>
      <c r="F44" s="7">
        <f>ROUNDUP(D44*2.14%,1)</f>
        <v>176.9</v>
      </c>
      <c r="G44" s="7">
        <f>G22+G28+G30+G32</f>
        <v>8338</v>
      </c>
      <c r="H44" s="7">
        <f>H22+H28+H30+H32</f>
        <v>718</v>
      </c>
      <c r="I44" s="7">
        <f>ROUNDUP(G44*2.14%,1)</f>
        <v>178.5</v>
      </c>
      <c r="J44" s="44"/>
      <c r="K44" s="45"/>
      <c r="L44" s="46"/>
      <c r="M44" s="44"/>
      <c r="N44" s="45"/>
      <c r="O44" s="46"/>
      <c r="P44" s="10"/>
      <c r="Q44" s="10"/>
      <c r="R44" s="10"/>
    </row>
    <row r="45" spans="1:19" ht="41.25" customHeight="1" x14ac:dyDescent="0.25">
      <c r="A45" s="13" t="s">
        <v>41</v>
      </c>
      <c r="B45" s="13"/>
      <c r="C45" s="10" t="s">
        <v>55</v>
      </c>
      <c r="D45" s="23">
        <f>SUM(D46:F46)</f>
        <v>9168.9</v>
      </c>
      <c r="E45" s="23"/>
      <c r="F45" s="23"/>
      <c r="G45" s="23">
        <f>SUM(G46:I46)</f>
        <v>9182.1</v>
      </c>
      <c r="H45" s="23"/>
      <c r="I45" s="23"/>
      <c r="J45" s="23">
        <f>SUM(J46:L46)</f>
        <v>5226.6000000000004</v>
      </c>
      <c r="K45" s="23"/>
      <c r="L45" s="23"/>
      <c r="M45" s="23">
        <f>SUM(M46:O46)</f>
        <v>4067.4</v>
      </c>
      <c r="N45" s="23"/>
      <c r="O45" s="23"/>
      <c r="P45" s="10"/>
      <c r="Q45" s="14"/>
      <c r="R45" s="15"/>
      <c r="S45" s="35">
        <f t="shared" ref="S45" si="3">AVERAGE(D45:O45)</f>
        <v>6911.25</v>
      </c>
    </row>
    <row r="46" spans="1:19" ht="24.75" customHeight="1" x14ac:dyDescent="0.25">
      <c r="A46" s="13"/>
      <c r="B46" s="13"/>
      <c r="C46" s="10" t="s">
        <v>7</v>
      </c>
      <c r="D46" s="7">
        <f>D22+D28+D30+D34</f>
        <v>8356</v>
      </c>
      <c r="E46" s="7">
        <f>E22+E28+E30+E34</f>
        <v>634</v>
      </c>
      <c r="F46" s="7">
        <f>ROUNDUP(D46*2.14%,1)</f>
        <v>178.9</v>
      </c>
      <c r="G46" s="7">
        <f>G22+G28+G30+G34</f>
        <v>8368</v>
      </c>
      <c r="H46" s="7">
        <f>H22+H28+H30+H34</f>
        <v>635</v>
      </c>
      <c r="I46" s="7">
        <f>ROUNDUP(G46*2.14%,1)</f>
        <v>179.1</v>
      </c>
      <c r="J46" s="7">
        <f>J22+J28+J30+J34</f>
        <v>4838</v>
      </c>
      <c r="K46" s="7">
        <f>K22+K28+K30+K34</f>
        <v>285</v>
      </c>
      <c r="L46" s="7">
        <f>ROUNDUP(J46*2.14%,1)</f>
        <v>103.6</v>
      </c>
      <c r="M46" s="7">
        <f>M22+M28+M30+M34</f>
        <v>3756</v>
      </c>
      <c r="N46" s="7">
        <f>N22+N28+N30+N34</f>
        <v>231</v>
      </c>
      <c r="O46" s="7">
        <f>ROUNDUP(M46*2.14%,1)</f>
        <v>80.399999999999991</v>
      </c>
      <c r="P46" s="10"/>
      <c r="Q46" s="10"/>
      <c r="R46" s="10"/>
    </row>
    <row r="47" spans="1:19" ht="41.25" customHeight="1" x14ac:dyDescent="0.25">
      <c r="A47" s="13" t="s">
        <v>42</v>
      </c>
      <c r="B47" s="13"/>
      <c r="C47" s="10" t="s">
        <v>55</v>
      </c>
      <c r="D47" s="44"/>
      <c r="E47" s="45"/>
      <c r="F47" s="46"/>
      <c r="G47" s="23">
        <f>SUM(G48:I48)</f>
        <v>9000</v>
      </c>
      <c r="H47" s="23"/>
      <c r="I47" s="23"/>
      <c r="J47" s="23">
        <f>SUM(J48:L48)</f>
        <v>5092.8</v>
      </c>
      <c r="K47" s="23"/>
      <c r="L47" s="23"/>
      <c r="M47" s="23">
        <f>SUM(M48:O48)</f>
        <v>3442.3</v>
      </c>
      <c r="N47" s="23"/>
      <c r="O47" s="23"/>
      <c r="P47" s="10"/>
      <c r="Q47" s="14"/>
      <c r="R47" s="15"/>
      <c r="S47" s="35">
        <f t="shared" ref="S47" si="4">AVERAGE(D47:O47)</f>
        <v>5845.0333333333328</v>
      </c>
    </row>
    <row r="48" spans="1:19" ht="24.75" customHeight="1" x14ac:dyDescent="0.25">
      <c r="A48" s="13"/>
      <c r="B48" s="13"/>
      <c r="C48" s="10" t="s">
        <v>7</v>
      </c>
      <c r="D48" s="44"/>
      <c r="E48" s="45"/>
      <c r="F48" s="46"/>
      <c r="G48" s="7">
        <f>G22+G28+G30+G36</f>
        <v>8267</v>
      </c>
      <c r="H48" s="7">
        <f>H22+H28+H30+H36</f>
        <v>556</v>
      </c>
      <c r="I48" s="7">
        <f>ROUNDUP(G48*2.14%,1)</f>
        <v>177</v>
      </c>
      <c r="J48" s="7">
        <f>J22+J28+J30+J36</f>
        <v>4707</v>
      </c>
      <c r="K48" s="7">
        <f>K22+K28+K30+K36</f>
        <v>285</v>
      </c>
      <c r="L48" s="7">
        <f>ROUNDUP(J48*2.14%,1)</f>
        <v>100.8</v>
      </c>
      <c r="M48" s="7">
        <f>M22+M28+M30+M36</f>
        <v>3144</v>
      </c>
      <c r="N48" s="7">
        <f>N22+N28+N30+N36</f>
        <v>231</v>
      </c>
      <c r="O48" s="7">
        <f>ROUNDUP(M48*2.14%,1)</f>
        <v>67.3</v>
      </c>
      <c r="P48" s="10"/>
      <c r="Q48" s="3"/>
      <c r="R48" s="1"/>
    </row>
    <row r="49" spans="1:19" ht="41.25" customHeight="1" x14ac:dyDescent="0.25">
      <c r="A49" s="16" t="s">
        <v>43</v>
      </c>
      <c r="B49" s="17"/>
      <c r="C49" s="10" t="s">
        <v>55</v>
      </c>
      <c r="D49" s="23">
        <f>SUM(D50:F50)</f>
        <v>6791.2</v>
      </c>
      <c r="E49" s="23"/>
      <c r="F49" s="23"/>
      <c r="G49" s="23">
        <f>SUM(G50:I50)</f>
        <v>6271.4</v>
      </c>
      <c r="H49" s="23"/>
      <c r="I49" s="23"/>
      <c r="J49" s="23"/>
      <c r="K49" s="23"/>
      <c r="L49" s="23"/>
      <c r="M49" s="44"/>
      <c r="N49" s="45"/>
      <c r="O49" s="46"/>
      <c r="P49" s="10"/>
      <c r="Q49" s="14"/>
      <c r="R49" s="15"/>
      <c r="S49" s="48">
        <f t="shared" ref="S49" si="5">AVERAGE(D49:O49)</f>
        <v>6531.2999999999993</v>
      </c>
    </row>
    <row r="50" spans="1:19" ht="24.75" customHeight="1" x14ac:dyDescent="0.25">
      <c r="A50" s="18"/>
      <c r="B50" s="19"/>
      <c r="C50" s="10" t="s">
        <v>7</v>
      </c>
      <c r="D50" s="7">
        <f>D20+D30+D32</f>
        <v>6035.5</v>
      </c>
      <c r="E50" s="7">
        <f>E20+E30+E32</f>
        <v>626.5</v>
      </c>
      <c r="F50" s="7">
        <f>ROUNDUP(D50*2.14%,1)</f>
        <v>129.19999999999999</v>
      </c>
      <c r="G50" s="7">
        <f>G20+G30+G32</f>
        <v>5695.5</v>
      </c>
      <c r="H50" s="7">
        <f>H20+H30+H32</f>
        <v>454</v>
      </c>
      <c r="I50" s="7">
        <f>ROUNDUP(G50*2.14%,1)</f>
        <v>121.89999999999999</v>
      </c>
      <c r="J50" s="7"/>
      <c r="K50" s="7"/>
      <c r="L50" s="7"/>
      <c r="M50" s="7"/>
      <c r="N50" s="7"/>
      <c r="O50" s="7"/>
      <c r="P50" s="10"/>
      <c r="Q50" s="3"/>
      <c r="R50" s="1"/>
    </row>
    <row r="51" spans="1:19" ht="41.25" customHeight="1" x14ac:dyDescent="0.25">
      <c r="A51" s="16" t="s">
        <v>44</v>
      </c>
      <c r="B51" s="17"/>
      <c r="C51" s="10" t="s">
        <v>55</v>
      </c>
      <c r="D51" s="23">
        <f>SUM(D52:F52)</f>
        <v>6695.2</v>
      </c>
      <c r="E51" s="23"/>
      <c r="F51" s="23"/>
      <c r="G51" s="23">
        <f>SUM(G52:I52)</f>
        <v>6219.1</v>
      </c>
      <c r="H51" s="23"/>
      <c r="I51" s="23"/>
      <c r="J51" s="23">
        <f>SUM(J52:L52)</f>
        <v>3621.8</v>
      </c>
      <c r="K51" s="23"/>
      <c r="L51" s="23"/>
      <c r="M51" s="23">
        <f>SUM(M52:O52)</f>
        <v>3475.8</v>
      </c>
      <c r="N51" s="23"/>
      <c r="O51" s="23"/>
      <c r="P51" s="10"/>
      <c r="Q51" s="14"/>
      <c r="R51" s="15"/>
      <c r="S51" s="48">
        <f t="shared" ref="S51" si="6">AVERAGE(D51:O51)</f>
        <v>5002.9749999999995</v>
      </c>
    </row>
    <row r="52" spans="1:19" ht="24.75" customHeight="1" x14ac:dyDescent="0.25">
      <c r="A52" s="18"/>
      <c r="B52" s="19"/>
      <c r="C52" s="10" t="s">
        <v>7</v>
      </c>
      <c r="D52" s="7">
        <f>D20+D30+D34</f>
        <v>6129.5</v>
      </c>
      <c r="E52" s="7">
        <f>E20+E30+E34</f>
        <v>434.5</v>
      </c>
      <c r="F52" s="7">
        <f>ROUNDUP(D52*2.14%,1)</f>
        <v>131.19999999999999</v>
      </c>
      <c r="G52" s="7">
        <f>G20+G30+G34</f>
        <v>5725.5</v>
      </c>
      <c r="H52" s="7">
        <f>H20+H30+H34</f>
        <v>371</v>
      </c>
      <c r="I52" s="7">
        <f>ROUNDUP(G52*2.14%,1)</f>
        <v>122.6</v>
      </c>
      <c r="J52" s="7">
        <f>J20+J30+J34</f>
        <v>3374</v>
      </c>
      <c r="K52" s="7">
        <f>K20+K30+K34</f>
        <v>175.5</v>
      </c>
      <c r="L52" s="7">
        <f>ROUNDUP(J52*2.14%,1)</f>
        <v>72.3</v>
      </c>
      <c r="M52" s="7">
        <f>M20+M30+M34</f>
        <v>3284.5</v>
      </c>
      <c r="N52" s="7">
        <f>N20+N30+N34</f>
        <v>121</v>
      </c>
      <c r="O52" s="7">
        <f>ROUNDUP(M52*2.14%,1)</f>
        <v>70.3</v>
      </c>
      <c r="P52" s="10"/>
      <c r="Q52" s="10"/>
      <c r="R52" s="10"/>
    </row>
    <row r="53" spans="1:19" ht="41.25" customHeight="1" x14ac:dyDescent="0.25">
      <c r="A53" s="16" t="s">
        <v>45</v>
      </c>
      <c r="B53" s="17"/>
      <c r="C53" s="10" t="s">
        <v>55</v>
      </c>
      <c r="D53" s="44"/>
      <c r="E53" s="45"/>
      <c r="F53" s="46"/>
      <c r="G53" s="23">
        <f>SUM(G54:I54)</f>
        <v>6036.9</v>
      </c>
      <c r="H53" s="23"/>
      <c r="I53" s="23"/>
      <c r="J53" s="23">
        <f>SUM(J54:L54)</f>
        <v>3488</v>
      </c>
      <c r="K53" s="23"/>
      <c r="L53" s="23"/>
      <c r="M53" s="23">
        <f>SUM(M54:O54)</f>
        <v>2850.7</v>
      </c>
      <c r="N53" s="23"/>
      <c r="O53" s="23"/>
      <c r="P53" s="10"/>
      <c r="Q53" s="14"/>
      <c r="R53" s="15"/>
      <c r="S53" s="48">
        <f t="shared" ref="S53" si="7">AVERAGE(D53:O53)</f>
        <v>4125.2</v>
      </c>
    </row>
    <row r="54" spans="1:19" ht="24.75" customHeight="1" x14ac:dyDescent="0.25">
      <c r="A54" s="18"/>
      <c r="B54" s="19"/>
      <c r="C54" s="10" t="s">
        <v>7</v>
      </c>
      <c r="D54" s="44"/>
      <c r="E54" s="45"/>
      <c r="F54" s="46"/>
      <c r="G54" s="7">
        <f>G20+G30+G36</f>
        <v>5624.5</v>
      </c>
      <c r="H54" s="7">
        <f>H20+H30+H36</f>
        <v>292</v>
      </c>
      <c r="I54" s="7">
        <f>ROUNDUP(G54*2.14%,1)</f>
        <v>120.39999999999999</v>
      </c>
      <c r="J54" s="7">
        <f>J20+J30+J36</f>
        <v>3243</v>
      </c>
      <c r="K54" s="7">
        <f>K20+K30+K36</f>
        <v>175.5</v>
      </c>
      <c r="L54" s="7">
        <f>ROUNDUP(J54*2.14%,1)</f>
        <v>69.5</v>
      </c>
      <c r="M54" s="7">
        <f>M20+M30+M36</f>
        <v>2672.5</v>
      </c>
      <c r="N54" s="7">
        <f>N20+N30+N36</f>
        <v>121</v>
      </c>
      <c r="O54" s="7">
        <f>ROUNDUP(M54*2.14%,1)</f>
        <v>57.2</v>
      </c>
      <c r="P54" s="10"/>
      <c r="Q54" s="10"/>
      <c r="R54" s="10"/>
    </row>
    <row r="55" spans="1:19" ht="41.25" customHeight="1" x14ac:dyDescent="0.25">
      <c r="A55" s="16" t="s">
        <v>46</v>
      </c>
      <c r="B55" s="17"/>
      <c r="C55" s="10" t="s">
        <v>55</v>
      </c>
      <c r="D55" s="23">
        <f>SUM(D56:F56)</f>
        <v>8552.2999999999993</v>
      </c>
      <c r="E55" s="23"/>
      <c r="F55" s="23"/>
      <c r="G55" s="23">
        <f>SUM(G56:I56)</f>
        <v>8515.2999999999993</v>
      </c>
      <c r="H55" s="23"/>
      <c r="I55" s="23"/>
      <c r="J55" s="23"/>
      <c r="K55" s="23"/>
      <c r="L55" s="23"/>
      <c r="M55" s="23"/>
      <c r="N55" s="23"/>
      <c r="O55" s="23"/>
      <c r="P55" s="10"/>
      <c r="Q55" s="14"/>
      <c r="R55" s="15"/>
      <c r="S55" s="48">
        <f t="shared" ref="S55" si="8">AVERAGE(D55:O55)</f>
        <v>8533.7999999999993</v>
      </c>
    </row>
    <row r="56" spans="1:19" ht="24.75" customHeight="1" x14ac:dyDescent="0.25">
      <c r="A56" s="18"/>
      <c r="B56" s="19"/>
      <c r="C56" s="10" t="s">
        <v>7</v>
      </c>
      <c r="D56" s="7">
        <f>D22+D30+D32</f>
        <v>7626.5</v>
      </c>
      <c r="E56" s="7">
        <f>E22+E30+E32</f>
        <v>762.5</v>
      </c>
      <c r="F56" s="7">
        <f>ROUNDUP(D56*2.14%,1)</f>
        <v>163.29999999999998</v>
      </c>
      <c r="G56" s="7">
        <f>G22+G30+G32</f>
        <v>7696.5</v>
      </c>
      <c r="H56" s="7">
        <f>H22+H30+H32</f>
        <v>654</v>
      </c>
      <c r="I56" s="7">
        <f>ROUNDUP(G56*2.14%,1)</f>
        <v>164.79999999999998</v>
      </c>
      <c r="J56" s="44"/>
      <c r="K56" s="45"/>
      <c r="L56" s="46"/>
      <c r="M56" s="44"/>
      <c r="N56" s="45"/>
      <c r="O56" s="46"/>
      <c r="P56" s="10"/>
      <c r="Q56" s="10"/>
      <c r="R56" s="10"/>
    </row>
    <row r="57" spans="1:19" ht="41.25" customHeight="1" x14ac:dyDescent="0.25">
      <c r="A57" s="16" t="s">
        <v>47</v>
      </c>
      <c r="B57" s="17"/>
      <c r="C57" s="10" t="s">
        <v>55</v>
      </c>
      <c r="D57" s="23">
        <f>SUM(D58:F58)</f>
        <v>8456.2999999999993</v>
      </c>
      <c r="E57" s="23"/>
      <c r="F57" s="23"/>
      <c r="G57" s="23">
        <f>SUM(G58:I58)</f>
        <v>8462.9</v>
      </c>
      <c r="H57" s="23"/>
      <c r="I57" s="23"/>
      <c r="J57" s="23">
        <f>SUM(J58:L58)</f>
        <v>4681.7</v>
      </c>
      <c r="K57" s="23"/>
      <c r="L57" s="23"/>
      <c r="M57" s="23">
        <f>SUM(M58:O58)</f>
        <v>3562.3</v>
      </c>
      <c r="N57" s="23"/>
      <c r="O57" s="23"/>
      <c r="P57" s="10"/>
      <c r="Q57" s="14"/>
      <c r="R57" s="15"/>
      <c r="S57" s="48">
        <f t="shared" ref="S57" si="9">AVERAGE(D57:O57)</f>
        <v>6290.7999999999993</v>
      </c>
    </row>
    <row r="58" spans="1:19" ht="24.75" customHeight="1" x14ac:dyDescent="0.25">
      <c r="A58" s="18"/>
      <c r="B58" s="19"/>
      <c r="C58" s="10" t="s">
        <v>7</v>
      </c>
      <c r="D58" s="7">
        <f>D22+D30+D34</f>
        <v>7720.5</v>
      </c>
      <c r="E58" s="7">
        <f>E22+E30+E34</f>
        <v>570.5</v>
      </c>
      <c r="F58" s="7">
        <f>ROUNDUP(D58*2.14%,1)</f>
        <v>165.29999999999998</v>
      </c>
      <c r="G58" s="7">
        <f>G22+G30+G34</f>
        <v>7726.5</v>
      </c>
      <c r="H58" s="7">
        <f>H22+H30+H34</f>
        <v>571</v>
      </c>
      <c r="I58" s="7">
        <f>ROUNDUP(G58*2.14%,1)</f>
        <v>165.4</v>
      </c>
      <c r="J58" s="7">
        <f>J22+J30+J34</f>
        <v>4352</v>
      </c>
      <c r="K58" s="7">
        <f>K22+K30+K34</f>
        <v>236.5</v>
      </c>
      <c r="L58" s="7">
        <f>ROUNDUP(J58*2.14%,1)</f>
        <v>93.199999999999989</v>
      </c>
      <c r="M58" s="7">
        <f>M22+M30+M34</f>
        <v>3305.5</v>
      </c>
      <c r="N58" s="7">
        <f>N22+N30+N34</f>
        <v>186</v>
      </c>
      <c r="O58" s="7">
        <f>ROUNDUP(M58*2.14%,1)</f>
        <v>70.8</v>
      </c>
      <c r="P58" s="10"/>
      <c r="Q58" s="10"/>
      <c r="R58" s="10"/>
    </row>
    <row r="59" spans="1:19" ht="41.25" customHeight="1" x14ac:dyDescent="0.25">
      <c r="A59" s="16" t="s">
        <v>48</v>
      </c>
      <c r="B59" s="17"/>
      <c r="C59" s="10" t="s">
        <v>55</v>
      </c>
      <c r="D59" s="44"/>
      <c r="E59" s="45"/>
      <c r="F59" s="46"/>
      <c r="G59" s="23">
        <f>SUM(G60:I60)</f>
        <v>8280.7000000000007</v>
      </c>
      <c r="H59" s="23"/>
      <c r="I59" s="23"/>
      <c r="J59" s="23">
        <f>SUM(J60:L60)</f>
        <v>4547.8999999999996</v>
      </c>
      <c r="K59" s="23"/>
      <c r="L59" s="23"/>
      <c r="M59" s="23">
        <f>SUM(M60:O60)</f>
        <v>2937.2</v>
      </c>
      <c r="N59" s="23"/>
      <c r="O59" s="23"/>
      <c r="P59" s="10"/>
      <c r="Q59" s="14"/>
      <c r="R59" s="15"/>
      <c r="S59" s="48">
        <f t="shared" ref="S59" si="10">AVERAGE(D59:O59)</f>
        <v>5255.2666666666664</v>
      </c>
    </row>
    <row r="60" spans="1:19" ht="24.75" customHeight="1" x14ac:dyDescent="0.25">
      <c r="A60" s="18"/>
      <c r="B60" s="19"/>
      <c r="C60" s="10" t="s">
        <v>7</v>
      </c>
      <c r="D60" s="44"/>
      <c r="E60" s="45"/>
      <c r="F60" s="46"/>
      <c r="G60" s="7">
        <f>G22+G30+G36</f>
        <v>7625.5</v>
      </c>
      <c r="H60" s="7">
        <f>H22+H30+H36</f>
        <v>492</v>
      </c>
      <c r="I60" s="7">
        <f>ROUNDUP(G60*2.14%,1)</f>
        <v>163.19999999999999</v>
      </c>
      <c r="J60" s="7">
        <f>J22+J30+J36</f>
        <v>4221</v>
      </c>
      <c r="K60" s="7">
        <f>K22+K30+K36</f>
        <v>236.5</v>
      </c>
      <c r="L60" s="7">
        <f>ROUNDUP(J60*2.14%,1)</f>
        <v>90.399999999999991</v>
      </c>
      <c r="M60" s="7">
        <f>M22+M30+M36</f>
        <v>2693.5</v>
      </c>
      <c r="N60" s="7">
        <f>N22+N30+N36</f>
        <v>186</v>
      </c>
      <c r="O60" s="7">
        <f>ROUNDUP(M60*2.14%,1)</f>
        <v>57.7</v>
      </c>
      <c r="P60" s="10"/>
      <c r="Q60" s="3"/>
      <c r="R60" s="1"/>
    </row>
    <row r="61" spans="1:19" ht="47.25" customHeight="1" x14ac:dyDescent="0.25">
      <c r="A61" s="13" t="s">
        <v>50</v>
      </c>
      <c r="B61" s="13"/>
      <c r="C61" s="10" t="s">
        <v>55</v>
      </c>
      <c r="D61" s="23">
        <f>SUM(D62:F62)</f>
        <v>5637.9</v>
      </c>
      <c r="E61" s="23"/>
      <c r="F61" s="23"/>
      <c r="G61" s="23">
        <f>SUM(G62:I62)</f>
        <v>6313.5</v>
      </c>
      <c r="H61" s="23"/>
      <c r="I61" s="23"/>
      <c r="J61" s="23">
        <f>SUM(J62:L62)</f>
        <v>5276.7</v>
      </c>
      <c r="K61" s="23"/>
      <c r="L61" s="23"/>
      <c r="M61" s="23">
        <f>SUM(M62:O62)</f>
        <v>5391.2</v>
      </c>
      <c r="N61" s="23"/>
      <c r="O61" s="23"/>
      <c r="P61" s="10"/>
      <c r="Q61" s="14"/>
      <c r="R61" s="15"/>
      <c r="S61" s="35">
        <f t="shared" ref="S61" si="11">AVERAGE(D61:O61)</f>
        <v>5654.8249999999998</v>
      </c>
    </row>
    <row r="62" spans="1:19" ht="40.5" customHeight="1" x14ac:dyDescent="0.25">
      <c r="A62" s="13"/>
      <c r="B62" s="13"/>
      <c r="C62" s="10" t="s">
        <v>7</v>
      </c>
      <c r="D62" s="7">
        <f>D10+D14+D16+D18</f>
        <v>4805</v>
      </c>
      <c r="E62" s="7">
        <f>E10+E14+E16+E18</f>
        <v>730</v>
      </c>
      <c r="F62" s="7">
        <f>ROUNDUP(D62*2.14%,1)</f>
        <v>102.89999999999999</v>
      </c>
      <c r="G62" s="7">
        <f>G10+G14+G16+G18</f>
        <v>5675</v>
      </c>
      <c r="H62" s="7">
        <f>H10+H14+H16+H18</f>
        <v>517</v>
      </c>
      <c r="I62" s="7">
        <f>ROUNDUP(G62*2.14%,1)</f>
        <v>121.5</v>
      </c>
      <c r="J62" s="7">
        <f>J10+J14+J16+J18</f>
        <v>4751</v>
      </c>
      <c r="K62" s="7">
        <f>K10+K14+K16+K18</f>
        <v>424</v>
      </c>
      <c r="L62" s="7">
        <f>ROUNDUP(J62*2.14%,1)</f>
        <v>101.69999999999999</v>
      </c>
      <c r="M62" s="7">
        <f>M10+M14+M16+M18</f>
        <v>4912</v>
      </c>
      <c r="N62" s="7">
        <f>N10+N14+N16+N18</f>
        <v>374</v>
      </c>
      <c r="O62" s="7">
        <f>ROUNDUP(M62*2.14%,1)</f>
        <v>105.19999999999999</v>
      </c>
      <c r="P62" s="10"/>
      <c r="Q62" s="3"/>
      <c r="R62" s="1"/>
    </row>
    <row r="63" spans="1:19" ht="47.25" customHeight="1" x14ac:dyDescent="0.25">
      <c r="A63" s="13" t="s">
        <v>49</v>
      </c>
      <c r="B63" s="13"/>
      <c r="C63" s="10" t="s">
        <v>55</v>
      </c>
      <c r="D63" s="23">
        <f>SUM(D64:F64)</f>
        <v>4375.7</v>
      </c>
      <c r="E63" s="23"/>
      <c r="F63" s="23"/>
      <c r="G63" s="23">
        <f>SUM(G64:I64)</f>
        <v>4826.1000000000004</v>
      </c>
      <c r="H63" s="23"/>
      <c r="I63" s="23"/>
      <c r="J63" s="23">
        <f>SUM(J64:L64)</f>
        <v>4134.8999999999996</v>
      </c>
      <c r="K63" s="23"/>
      <c r="L63" s="23"/>
      <c r="M63" s="44">
        <f>SUM(M64:O64)</f>
        <v>4201.5</v>
      </c>
      <c r="N63" s="45"/>
      <c r="O63" s="46"/>
      <c r="P63" s="10"/>
      <c r="Q63" s="14"/>
      <c r="R63" s="15"/>
      <c r="S63" s="48">
        <f t="shared" ref="S63" si="12">AVERAGE(D63:O63)</f>
        <v>4384.5499999999993</v>
      </c>
    </row>
    <row r="64" spans="1:19" ht="28.5" customHeight="1" x14ac:dyDescent="0.25">
      <c r="A64" s="13"/>
      <c r="B64" s="13"/>
      <c r="C64" s="10" t="s">
        <v>7</v>
      </c>
      <c r="D64" s="7">
        <f>D10+D14+D18</f>
        <v>3769</v>
      </c>
      <c r="E64" s="7">
        <f>E10+E14+E18</f>
        <v>526</v>
      </c>
      <c r="F64" s="7">
        <f>ROUNDUP(D64*2.14%,1)</f>
        <v>80.699999999999989</v>
      </c>
      <c r="G64" s="7">
        <f>G10+G14+G18</f>
        <v>4349</v>
      </c>
      <c r="H64" s="7">
        <f>H10+H14+H18</f>
        <v>384</v>
      </c>
      <c r="I64" s="7">
        <f>ROUNDUP(G64*2.14%,1)</f>
        <v>93.1</v>
      </c>
      <c r="J64" s="7">
        <f>J10+J14+J18</f>
        <v>3733</v>
      </c>
      <c r="K64" s="7">
        <f>K10+K14+K18</f>
        <v>322</v>
      </c>
      <c r="L64" s="7">
        <f>ROUNDUP(J64*2.14%,1)</f>
        <v>79.899999999999991</v>
      </c>
      <c r="M64" s="7">
        <f>M10+M14+M18</f>
        <v>3851</v>
      </c>
      <c r="N64" s="7">
        <f>N10+N14+N18</f>
        <v>268</v>
      </c>
      <c r="O64" s="7">
        <f>ROUNDUP(M64*2.14%,1)</f>
        <v>82.5</v>
      </c>
      <c r="P64" s="10"/>
      <c r="Q64" s="3"/>
      <c r="R64" s="1"/>
    </row>
    <row r="65" spans="1:20" ht="25.5" customHeight="1" x14ac:dyDescent="0.25">
      <c r="A65" s="11" t="s">
        <v>60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35">
        <f>S7+S11+AVERAGE(S37:S47)+S61</f>
        <v>13565.033333333333</v>
      </c>
      <c r="T65" s="25" t="s">
        <v>62</v>
      </c>
    </row>
    <row r="66" spans="1:20" ht="20.25" customHeight="1" x14ac:dyDescent="0.25">
      <c r="A66" s="11" t="s">
        <v>32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49">
        <f>S65/30/12</f>
        <v>37.680648148148144</v>
      </c>
      <c r="T66" s="25" t="s">
        <v>61</v>
      </c>
    </row>
    <row r="67" spans="1:20" ht="24" customHeight="1" x14ac:dyDescent="0.25">
      <c r="A67" s="12" t="s">
        <v>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20" ht="24" customHeight="1" x14ac:dyDescent="0.25">
      <c r="A68" s="50" t="s">
        <v>67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</sheetData>
  <mergeCells count="213">
    <mergeCell ref="A68:R68"/>
    <mergeCell ref="J44:L44"/>
    <mergeCell ref="M44:O44"/>
    <mergeCell ref="J56:L56"/>
    <mergeCell ref="M56:O56"/>
    <mergeCell ref="P1:R1"/>
    <mergeCell ref="A15:B16"/>
    <mergeCell ref="D15:F15"/>
    <mergeCell ref="G15:I15"/>
    <mergeCell ref="J15:L15"/>
    <mergeCell ref="M15:O15"/>
    <mergeCell ref="Q15:R15"/>
    <mergeCell ref="A17:B18"/>
    <mergeCell ref="D17:F17"/>
    <mergeCell ref="G17:I17"/>
    <mergeCell ref="J17:L17"/>
    <mergeCell ref="M17:O17"/>
    <mergeCell ref="Q17:R17"/>
    <mergeCell ref="J33:L33"/>
    <mergeCell ref="M33:O33"/>
    <mergeCell ref="A23:A26"/>
    <mergeCell ref="Q35:R35"/>
    <mergeCell ref="Q33:R33"/>
    <mergeCell ref="Q31:R31"/>
    <mergeCell ref="Q29:R29"/>
    <mergeCell ref="Q25:R25"/>
    <mergeCell ref="Q23:R23"/>
    <mergeCell ref="Q21:R21"/>
    <mergeCell ref="Q19:R19"/>
    <mergeCell ref="Q13:R13"/>
    <mergeCell ref="Q27:R27"/>
    <mergeCell ref="B33:B34"/>
    <mergeCell ref="D33:F33"/>
    <mergeCell ref="G33:I33"/>
    <mergeCell ref="G26:I26"/>
    <mergeCell ref="B25:B26"/>
    <mergeCell ref="D25:F25"/>
    <mergeCell ref="G25:I25"/>
    <mergeCell ref="J25:L25"/>
    <mergeCell ref="M25:O25"/>
    <mergeCell ref="A27:B28"/>
    <mergeCell ref="D27:F27"/>
    <mergeCell ref="G27:I27"/>
    <mergeCell ref="J27:L27"/>
    <mergeCell ref="M27:O27"/>
    <mergeCell ref="A31:A36"/>
    <mergeCell ref="B31:B32"/>
    <mergeCell ref="A2:R2"/>
    <mergeCell ref="A29:B30"/>
    <mergeCell ref="D29:F29"/>
    <mergeCell ref="G29:I29"/>
    <mergeCell ref="J29:L29"/>
    <mergeCell ref="M29:O29"/>
    <mergeCell ref="B23:B24"/>
    <mergeCell ref="D23:F23"/>
    <mergeCell ref="P3:R5"/>
    <mergeCell ref="Q7:R7"/>
    <mergeCell ref="Q11:R11"/>
    <mergeCell ref="Q9:R9"/>
    <mergeCell ref="M19:O19"/>
    <mergeCell ref="B21:B22"/>
    <mergeCell ref="D21:F21"/>
    <mergeCell ref="G21:I21"/>
    <mergeCell ref="B19:B20"/>
    <mergeCell ref="D19:F19"/>
    <mergeCell ref="G19:I19"/>
    <mergeCell ref="J19:L19"/>
    <mergeCell ref="A11:B12"/>
    <mergeCell ref="A7:B8"/>
    <mergeCell ref="D7:F7"/>
    <mergeCell ref="G7:I7"/>
    <mergeCell ref="M7:O7"/>
    <mergeCell ref="A37:B38"/>
    <mergeCell ref="A19:A22"/>
    <mergeCell ref="D37:F37"/>
    <mergeCell ref="G37:I37"/>
    <mergeCell ref="J37:L37"/>
    <mergeCell ref="M11:O11"/>
    <mergeCell ref="A13:B14"/>
    <mergeCell ref="D13:F13"/>
    <mergeCell ref="G13:I13"/>
    <mergeCell ref="J13:L13"/>
    <mergeCell ref="A9:B10"/>
    <mergeCell ref="D9:F9"/>
    <mergeCell ref="G9:I9"/>
    <mergeCell ref="J9:L9"/>
    <mergeCell ref="M9:O9"/>
    <mergeCell ref="B35:B36"/>
    <mergeCell ref="D31:F31"/>
    <mergeCell ref="G31:I31"/>
    <mergeCell ref="J31:L31"/>
    <mergeCell ref="M37:O37"/>
    <mergeCell ref="D4:F4"/>
    <mergeCell ref="D5:F5"/>
    <mergeCell ref="G4:I4"/>
    <mergeCell ref="G5:I5"/>
    <mergeCell ref="J4:L4"/>
    <mergeCell ref="J5:L5"/>
    <mergeCell ref="D11:F11"/>
    <mergeCell ref="G11:I11"/>
    <mergeCell ref="J11:L11"/>
    <mergeCell ref="J7:L7"/>
    <mergeCell ref="M4:O4"/>
    <mergeCell ref="M5:O5"/>
    <mergeCell ref="A3:B6"/>
    <mergeCell ref="C3:O3"/>
    <mergeCell ref="C4:C6"/>
    <mergeCell ref="G49:I49"/>
    <mergeCell ref="J49:L49"/>
    <mergeCell ref="J61:L61"/>
    <mergeCell ref="M49:O49"/>
    <mergeCell ref="M61:O61"/>
    <mergeCell ref="D57:F57"/>
    <mergeCell ref="G57:I57"/>
    <mergeCell ref="J57:L57"/>
    <mergeCell ref="M57:O57"/>
    <mergeCell ref="D61:F61"/>
    <mergeCell ref="G39:I39"/>
    <mergeCell ref="J39:L39"/>
    <mergeCell ref="M39:O39"/>
    <mergeCell ref="D41:F41"/>
    <mergeCell ref="G41:I41"/>
    <mergeCell ref="J41:L41"/>
    <mergeCell ref="M13:O13"/>
    <mergeCell ref="J21:L21"/>
    <mergeCell ref="M21:O21"/>
    <mergeCell ref="D39:F39"/>
    <mergeCell ref="D26:F26"/>
    <mergeCell ref="J26:L26"/>
    <mergeCell ref="J23:L23"/>
    <mergeCell ref="M23:O23"/>
    <mergeCell ref="D24:F24"/>
    <mergeCell ref="G24:I24"/>
    <mergeCell ref="G23:I23"/>
    <mergeCell ref="M35:O35"/>
    <mergeCell ref="D36:F36"/>
    <mergeCell ref="M31:O31"/>
    <mergeCell ref="J32:L32"/>
    <mergeCell ref="M32:O32"/>
    <mergeCell ref="J38:L38"/>
    <mergeCell ref="D35:F35"/>
    <mergeCell ref="G35:I35"/>
    <mergeCell ref="J35:L35"/>
    <mergeCell ref="M38:O38"/>
    <mergeCell ref="Q55:R55"/>
    <mergeCell ref="A47:B48"/>
    <mergeCell ref="D47:F47"/>
    <mergeCell ref="G47:I47"/>
    <mergeCell ref="J47:L47"/>
    <mergeCell ref="M47:O47"/>
    <mergeCell ref="Q37:R37"/>
    <mergeCell ref="Q39:R39"/>
    <mergeCell ref="Q41:R41"/>
    <mergeCell ref="Q43:R43"/>
    <mergeCell ref="Q45:R45"/>
    <mergeCell ref="Q47:R47"/>
    <mergeCell ref="A43:B44"/>
    <mergeCell ref="D43:F43"/>
    <mergeCell ref="G43:I43"/>
    <mergeCell ref="J43:L43"/>
    <mergeCell ref="M43:O43"/>
    <mergeCell ref="A45:B46"/>
    <mergeCell ref="D45:F45"/>
    <mergeCell ref="G45:I45"/>
    <mergeCell ref="J45:L45"/>
    <mergeCell ref="M45:O45"/>
    <mergeCell ref="A49:B50"/>
    <mergeCell ref="A39:B40"/>
    <mergeCell ref="A41:B42"/>
    <mergeCell ref="D53:F53"/>
    <mergeCell ref="G53:I53"/>
    <mergeCell ref="J53:L53"/>
    <mergeCell ref="M53:O53"/>
    <mergeCell ref="Q53:R53"/>
    <mergeCell ref="D49:F49"/>
    <mergeCell ref="A55:B56"/>
    <mergeCell ref="A53:B54"/>
    <mergeCell ref="A51:B52"/>
    <mergeCell ref="D54:F54"/>
    <mergeCell ref="D55:F55"/>
    <mergeCell ref="G55:I55"/>
    <mergeCell ref="J55:L55"/>
    <mergeCell ref="M55:O55"/>
    <mergeCell ref="D42:F42"/>
    <mergeCell ref="D48:F48"/>
    <mergeCell ref="Q49:R49"/>
    <mergeCell ref="D51:F51"/>
    <mergeCell ref="G51:I51"/>
    <mergeCell ref="J51:L51"/>
    <mergeCell ref="M51:O51"/>
    <mergeCell ref="Q51:R51"/>
    <mergeCell ref="M41:O41"/>
    <mergeCell ref="A65:R65"/>
    <mergeCell ref="A67:R67"/>
    <mergeCell ref="A63:B64"/>
    <mergeCell ref="D63:F63"/>
    <mergeCell ref="G63:I63"/>
    <mergeCell ref="J63:L63"/>
    <mergeCell ref="M63:O63"/>
    <mergeCell ref="Q63:R63"/>
    <mergeCell ref="Q57:R57"/>
    <mergeCell ref="A59:B60"/>
    <mergeCell ref="D59:F59"/>
    <mergeCell ref="G59:I59"/>
    <mergeCell ref="J59:L59"/>
    <mergeCell ref="M59:O59"/>
    <mergeCell ref="Q59:R59"/>
    <mergeCell ref="D60:F60"/>
    <mergeCell ref="A57:B58"/>
    <mergeCell ref="Q61:R61"/>
    <mergeCell ref="A61:B62"/>
    <mergeCell ref="G61:I61"/>
    <mergeCell ref="A66:R6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36" max="17" man="1"/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2022-07-18T08:03:37Z</cp:lastPrinted>
  <dcterms:created xsi:type="dcterms:W3CDTF">2020-10-08T08:23:15Z</dcterms:created>
  <dcterms:modified xsi:type="dcterms:W3CDTF">2022-07-18T08:06:38Z</dcterms:modified>
</cp:coreProperties>
</file>